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Datos\Planes de Desarrollo Regional_PDR\mejillón\CENTER\CENTER II\"/>
    </mc:Choice>
  </mc:AlternateContent>
  <bookViews>
    <workbookView xWindow="0" yWindow="0" windowWidth="28800" windowHeight="10500"/>
  </bookViews>
  <sheets>
    <sheet name="Velocidad-Rugosidad Abs DN250" sheetId="5" r:id="rId1"/>
    <sheet name="Velocidad-Rugosidad Abs DN300" sheetId="6" r:id="rId2"/>
    <sheet name="Velocidad-Rugosidad Abs DN200" sheetId="7" r:id="rId3"/>
    <sheet name="DN250 PN10" sheetId="2" r:id="rId4"/>
    <sheet name="DN300 PN10" sheetId="3" r:id="rId5"/>
    <sheet name="DN200 PN16" sheetId="4" r:id="rId6"/>
    <sheet name="Teoría" sheetId="1" r:id="rId7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Y50" i="2" l="1"/>
  <c r="AX50" i="2"/>
  <c r="AY49" i="2"/>
  <c r="AX49" i="2"/>
  <c r="AY48" i="2"/>
  <c r="AX48" i="2"/>
  <c r="AY44" i="2"/>
  <c r="AX44" i="2"/>
  <c r="AY43" i="2"/>
  <c r="AX43" i="2"/>
  <c r="AY42" i="2"/>
  <c r="AX42" i="2"/>
  <c r="AY38" i="2"/>
  <c r="AX38" i="2"/>
  <c r="AY37" i="2"/>
  <c r="AX37" i="2"/>
  <c r="AX36" i="2"/>
  <c r="AY36" i="2"/>
  <c r="AT49" i="2"/>
  <c r="AT50" i="2"/>
  <c r="AT43" i="2"/>
  <c r="AT44" i="2"/>
  <c r="AT48" i="2"/>
  <c r="AT42" i="2"/>
  <c r="AX51" i="3"/>
  <c r="AX52" i="3"/>
  <c r="AX50" i="3"/>
  <c r="B53" i="3"/>
  <c r="B52" i="3"/>
  <c r="B38" i="3"/>
  <c r="B37" i="3"/>
  <c r="AV49" i="2"/>
  <c r="AU49" i="2"/>
  <c r="AV48" i="2"/>
  <c r="AU48" i="2"/>
  <c r="AV44" i="2"/>
  <c r="AU44" i="2"/>
  <c r="AV43" i="2"/>
  <c r="AU43" i="2"/>
  <c r="AV42" i="2"/>
  <c r="AU42" i="2"/>
  <c r="AV38" i="2"/>
  <c r="AU38" i="2"/>
  <c r="AV37" i="2"/>
  <c r="AU37" i="2"/>
  <c r="AV36" i="2"/>
  <c r="AU36" i="2"/>
  <c r="AT38" i="2"/>
  <c r="AT37" i="2"/>
  <c r="AT36" i="2"/>
  <c r="G49" i="2"/>
  <c r="G48" i="2"/>
  <c r="U49" i="2"/>
  <c r="U48" i="2"/>
  <c r="AI49" i="2"/>
  <c r="AI48" i="2"/>
  <c r="AI34" i="2"/>
  <c r="AI33" i="2"/>
  <c r="U34" i="2"/>
  <c r="U33" i="2"/>
  <c r="G34" i="2"/>
  <c r="W2" i="2"/>
  <c r="A23" i="2" l="1"/>
  <c r="F23" i="2" s="1"/>
  <c r="G23" i="2" s="1"/>
  <c r="A24" i="2"/>
  <c r="F24" i="2" s="1"/>
  <c r="G24" i="2" s="1"/>
  <c r="A38" i="2"/>
  <c r="A39" i="2"/>
  <c r="E8" i="2"/>
  <c r="F8" i="2" s="1"/>
  <c r="E4" i="2"/>
  <c r="F4" i="2" s="1"/>
  <c r="A5" i="2"/>
  <c r="E5" i="2" s="1"/>
  <c r="F5" i="2" s="1"/>
  <c r="A6" i="2"/>
  <c r="E6" i="2" s="1"/>
  <c r="F6" i="2" s="1"/>
  <c r="A7" i="2"/>
  <c r="E7" i="2" s="1"/>
  <c r="F7" i="2" s="1"/>
  <c r="A8" i="2"/>
  <c r="A9" i="2"/>
  <c r="E9" i="2" s="1"/>
  <c r="F9" i="2" s="1"/>
  <c r="A4" i="2"/>
  <c r="O65" i="1"/>
  <c r="A12" i="3"/>
  <c r="U13" i="3"/>
  <c r="U14" i="3"/>
  <c r="U15" i="3"/>
  <c r="U16" i="3"/>
  <c r="U17" i="3"/>
  <c r="U18" i="3"/>
  <c r="U19" i="3"/>
  <c r="U20" i="3"/>
  <c r="U21" i="3"/>
  <c r="AJ13" i="3"/>
  <c r="AJ14" i="3"/>
  <c r="AJ15" i="3"/>
  <c r="AJ16" i="3"/>
  <c r="AJ17" i="3"/>
  <c r="AJ18" i="3"/>
  <c r="AJ19" i="3"/>
  <c r="AJ20" i="3"/>
  <c r="AJ21" i="3"/>
  <c r="AJ28" i="3"/>
  <c r="AJ29" i="3"/>
  <c r="AJ30" i="3"/>
  <c r="AJ31" i="3"/>
  <c r="AJ32" i="3"/>
  <c r="AJ33" i="3"/>
  <c r="AJ34" i="3"/>
  <c r="AJ35" i="3"/>
  <c r="AJ36" i="3"/>
  <c r="AJ43" i="3"/>
  <c r="AJ44" i="3"/>
  <c r="AJ45" i="3"/>
  <c r="AJ46" i="3"/>
  <c r="AJ47" i="3"/>
  <c r="AJ48" i="3"/>
  <c r="AJ49" i="3"/>
  <c r="AJ50" i="3"/>
  <c r="AJ51" i="3"/>
  <c r="U43" i="3"/>
  <c r="U44" i="3"/>
  <c r="U45" i="3"/>
  <c r="U46" i="3"/>
  <c r="U47" i="3"/>
  <c r="U48" i="3"/>
  <c r="U49" i="3"/>
  <c r="U50" i="3"/>
  <c r="U51" i="3"/>
  <c r="U28" i="3"/>
  <c r="U29" i="3"/>
  <c r="U30" i="3"/>
  <c r="U31" i="3"/>
  <c r="U32" i="3"/>
  <c r="U33" i="3"/>
  <c r="U34" i="3"/>
  <c r="U35" i="3"/>
  <c r="U36" i="3"/>
  <c r="F43" i="3"/>
  <c r="F44" i="3"/>
  <c r="F45" i="3"/>
  <c r="F46" i="3"/>
  <c r="F47" i="3"/>
  <c r="F48" i="3"/>
  <c r="F49" i="3"/>
  <c r="F50" i="3"/>
  <c r="F51" i="3"/>
  <c r="F28" i="3"/>
  <c r="F29" i="3"/>
  <c r="F30" i="3"/>
  <c r="F31" i="3"/>
  <c r="F32" i="3"/>
  <c r="F33" i="3"/>
  <c r="F34" i="3"/>
  <c r="F35" i="3"/>
  <c r="F36" i="3"/>
  <c r="AJ42" i="3"/>
  <c r="AJ27" i="3"/>
  <c r="AJ12" i="3"/>
  <c r="U12" i="3"/>
  <c r="U27" i="3"/>
  <c r="U42" i="3"/>
  <c r="F42" i="3"/>
  <c r="F27" i="3"/>
  <c r="F13" i="3"/>
  <c r="F14" i="3"/>
  <c r="F15" i="3"/>
  <c r="F16" i="3"/>
  <c r="F17" i="3"/>
  <c r="F18" i="3"/>
  <c r="F19" i="3"/>
  <c r="F20" i="3"/>
  <c r="F21" i="3"/>
  <c r="AE51" i="3"/>
  <c r="AK51" i="3" s="1"/>
  <c r="AE50" i="3"/>
  <c r="AK50" i="3" s="1"/>
  <c r="AE49" i="3"/>
  <c r="AK49" i="3" s="1"/>
  <c r="AE48" i="3"/>
  <c r="AK48" i="3" s="1"/>
  <c r="AE47" i="3"/>
  <c r="AK47" i="3" s="1"/>
  <c r="AE46" i="3"/>
  <c r="AK46" i="3" s="1"/>
  <c r="AE45" i="3"/>
  <c r="AK45" i="3" s="1"/>
  <c r="AE44" i="3"/>
  <c r="AK44" i="3" s="1"/>
  <c r="AE43" i="3"/>
  <c r="AK43" i="3" s="1"/>
  <c r="AE42" i="3"/>
  <c r="AK42" i="3" s="1"/>
  <c r="AM42" i="3" s="1"/>
  <c r="AN42" i="3" s="1"/>
  <c r="AO42" i="3" s="1"/>
  <c r="AP42" i="3" s="1"/>
  <c r="AQ42" i="3" s="1"/>
  <c r="P51" i="3"/>
  <c r="V51" i="3" s="1"/>
  <c r="P50" i="3"/>
  <c r="V50" i="3" s="1"/>
  <c r="W50" i="3" s="1"/>
  <c r="P49" i="3"/>
  <c r="V49" i="3" s="1"/>
  <c r="P48" i="3"/>
  <c r="V48" i="3" s="1"/>
  <c r="P47" i="3"/>
  <c r="V47" i="3" s="1"/>
  <c r="P46" i="3"/>
  <c r="V46" i="3" s="1"/>
  <c r="P45" i="3"/>
  <c r="V45" i="3" s="1"/>
  <c r="P44" i="3"/>
  <c r="V44" i="3" s="1"/>
  <c r="P43" i="3"/>
  <c r="V43" i="3" s="1"/>
  <c r="P42" i="3"/>
  <c r="P36" i="3"/>
  <c r="V36" i="3" s="1"/>
  <c r="P35" i="3"/>
  <c r="V35" i="3" s="1"/>
  <c r="P34" i="3"/>
  <c r="V34" i="3" s="1"/>
  <c r="X34" i="3" s="1"/>
  <c r="Y34" i="3" s="1"/>
  <c r="Z34" i="3" s="1"/>
  <c r="AA34" i="3" s="1"/>
  <c r="AB34" i="3" s="1"/>
  <c r="AC34" i="3" s="1"/>
  <c r="AD34" i="3" s="1"/>
  <c r="P33" i="3"/>
  <c r="V33" i="3" s="1"/>
  <c r="P32" i="3"/>
  <c r="V32" i="3" s="1"/>
  <c r="P31" i="3"/>
  <c r="V31" i="3" s="1"/>
  <c r="P30" i="3"/>
  <c r="V30" i="3" s="1"/>
  <c r="P29" i="3"/>
  <c r="V29" i="3" s="1"/>
  <c r="P28" i="3"/>
  <c r="V28" i="3" s="1"/>
  <c r="P27" i="3"/>
  <c r="V27" i="3" s="1"/>
  <c r="X27" i="3" s="1"/>
  <c r="Y27" i="3" s="1"/>
  <c r="Z27" i="3" s="1"/>
  <c r="AA27" i="3" s="1"/>
  <c r="AB27" i="3" s="1"/>
  <c r="AC27" i="3" s="1"/>
  <c r="AD27" i="3" s="1"/>
  <c r="AE36" i="3"/>
  <c r="AK36" i="3" s="1"/>
  <c r="AE35" i="3"/>
  <c r="AK35" i="3" s="1"/>
  <c r="AE34" i="3"/>
  <c r="AK34" i="3" s="1"/>
  <c r="AE33" i="3"/>
  <c r="AK33" i="3" s="1"/>
  <c r="AE32" i="3"/>
  <c r="AK32" i="3" s="1"/>
  <c r="AE31" i="3"/>
  <c r="AK31" i="3" s="1"/>
  <c r="AM31" i="3" s="1"/>
  <c r="AN31" i="3" s="1"/>
  <c r="AO31" i="3" s="1"/>
  <c r="AP31" i="3" s="1"/>
  <c r="AQ31" i="3" s="1"/>
  <c r="AE30" i="3"/>
  <c r="AK30" i="3" s="1"/>
  <c r="AE29" i="3"/>
  <c r="AK29" i="3" s="1"/>
  <c r="AE28" i="3"/>
  <c r="AK28" i="3" s="1"/>
  <c r="AE27" i="3"/>
  <c r="AK27" i="3" s="1"/>
  <c r="AM27" i="3" s="1"/>
  <c r="AN27" i="3" s="1"/>
  <c r="AO27" i="3" s="1"/>
  <c r="AP27" i="3" s="1"/>
  <c r="AQ27" i="3" s="1"/>
  <c r="AE21" i="3"/>
  <c r="AK21" i="3" s="1"/>
  <c r="AE20" i="3"/>
  <c r="AK20" i="3" s="1"/>
  <c r="AE19" i="3"/>
  <c r="AK19" i="3" s="1"/>
  <c r="AE18" i="3"/>
  <c r="AK18" i="3" s="1"/>
  <c r="AE17" i="3"/>
  <c r="AK17" i="3" s="1"/>
  <c r="AE16" i="3"/>
  <c r="AK16" i="3" s="1"/>
  <c r="AE15" i="3"/>
  <c r="AK15" i="3" s="1"/>
  <c r="AE14" i="3"/>
  <c r="AK14" i="3" s="1"/>
  <c r="AE13" i="3"/>
  <c r="AK13" i="3" s="1"/>
  <c r="AM13" i="3" s="1"/>
  <c r="AN13" i="3" s="1"/>
  <c r="AO13" i="3" s="1"/>
  <c r="AP13" i="3" s="1"/>
  <c r="AQ13" i="3" s="1"/>
  <c r="AR13" i="3" s="1"/>
  <c r="AS13" i="3" s="1"/>
  <c r="AE12" i="3"/>
  <c r="AK12" i="3" s="1"/>
  <c r="P21" i="3"/>
  <c r="V21" i="3" s="1"/>
  <c r="P20" i="3"/>
  <c r="V20" i="3" s="1"/>
  <c r="P19" i="3"/>
  <c r="V19" i="3" s="1"/>
  <c r="P18" i="3"/>
  <c r="V18" i="3" s="1"/>
  <c r="P17" i="3"/>
  <c r="V17" i="3" s="1"/>
  <c r="P16" i="3"/>
  <c r="V16" i="3" s="1"/>
  <c r="X16" i="3" s="1"/>
  <c r="Y16" i="3" s="1"/>
  <c r="Z16" i="3" s="1"/>
  <c r="AA16" i="3" s="1"/>
  <c r="AB16" i="3" s="1"/>
  <c r="P15" i="3"/>
  <c r="V15" i="3" s="1"/>
  <c r="P14" i="3"/>
  <c r="V14" i="3" s="1"/>
  <c r="P13" i="3"/>
  <c r="V13" i="3" s="1"/>
  <c r="P12" i="3"/>
  <c r="V12" i="3" s="1"/>
  <c r="X12" i="3" s="1"/>
  <c r="Y12" i="3" s="1"/>
  <c r="Z12" i="3" s="1"/>
  <c r="AA12" i="3" s="1"/>
  <c r="AB12" i="3" s="1"/>
  <c r="A13" i="3"/>
  <c r="G13" i="3" s="1"/>
  <c r="I13" i="3" s="1"/>
  <c r="J13" i="3" s="1"/>
  <c r="K13" i="3" s="1"/>
  <c r="L13" i="3" s="1"/>
  <c r="M13" i="3" s="1"/>
  <c r="A14" i="3"/>
  <c r="G14" i="3" s="1"/>
  <c r="I14" i="3" s="1"/>
  <c r="J14" i="3" s="1"/>
  <c r="K14" i="3" s="1"/>
  <c r="L14" i="3" s="1"/>
  <c r="M14" i="3" s="1"/>
  <c r="A15" i="3"/>
  <c r="G15" i="3" s="1"/>
  <c r="I15" i="3" s="1"/>
  <c r="J15" i="3" s="1"/>
  <c r="K15" i="3" s="1"/>
  <c r="L15" i="3" s="1"/>
  <c r="M15" i="3" s="1"/>
  <c r="A16" i="3"/>
  <c r="G16" i="3" s="1"/>
  <c r="I16" i="3" s="1"/>
  <c r="J16" i="3" s="1"/>
  <c r="K16" i="3" s="1"/>
  <c r="L16" i="3" s="1"/>
  <c r="M16" i="3" s="1"/>
  <c r="A17" i="3"/>
  <c r="G17" i="3" s="1"/>
  <c r="I17" i="3" s="1"/>
  <c r="J17" i="3" s="1"/>
  <c r="K17" i="3" s="1"/>
  <c r="L17" i="3" s="1"/>
  <c r="M17" i="3" s="1"/>
  <c r="A18" i="3"/>
  <c r="G18" i="3" s="1"/>
  <c r="I18" i="3" s="1"/>
  <c r="J18" i="3" s="1"/>
  <c r="K18" i="3" s="1"/>
  <c r="L18" i="3" s="1"/>
  <c r="M18" i="3" s="1"/>
  <c r="A19" i="3"/>
  <c r="G19" i="3" s="1"/>
  <c r="I19" i="3" s="1"/>
  <c r="J19" i="3" s="1"/>
  <c r="K19" i="3" s="1"/>
  <c r="L19" i="3" s="1"/>
  <c r="M19" i="3" s="1"/>
  <c r="A20" i="3"/>
  <c r="G20" i="3" s="1"/>
  <c r="I20" i="3" s="1"/>
  <c r="J20" i="3" s="1"/>
  <c r="K20" i="3" s="1"/>
  <c r="L20" i="3" s="1"/>
  <c r="M20" i="3" s="1"/>
  <c r="A21" i="3"/>
  <c r="G21" i="3" s="1"/>
  <c r="I21" i="3" s="1"/>
  <c r="J21" i="3" s="1"/>
  <c r="K21" i="3" s="1"/>
  <c r="L21" i="3" s="1"/>
  <c r="M21" i="3" s="1"/>
  <c r="F12" i="3"/>
  <c r="AH29" i="2"/>
  <c r="AI29" i="2" s="1"/>
  <c r="F39" i="2"/>
  <c r="G39" i="2" s="1"/>
  <c r="AH39" i="2"/>
  <c r="AI39" i="2" s="1"/>
  <c r="AH47" i="2"/>
  <c r="AI47" i="2" s="1"/>
  <c r="F38" i="2"/>
  <c r="G38" i="2" s="1"/>
  <c r="AH13" i="2"/>
  <c r="AI13" i="2" s="1"/>
  <c r="AM65" i="4"/>
  <c r="AM64" i="4"/>
  <c r="AM57" i="4"/>
  <c r="AM56" i="4"/>
  <c r="AF4" i="4"/>
  <c r="AG4" i="4" s="1"/>
  <c r="AH4" i="4" s="1"/>
  <c r="AI4" i="4" s="1"/>
  <c r="AJ4" i="4" s="1"/>
  <c r="AK4" i="4" s="1"/>
  <c r="AL4" i="4" s="1"/>
  <c r="AF5" i="4"/>
  <c r="AG5" i="4" s="1"/>
  <c r="AH5" i="4" s="1"/>
  <c r="AI5" i="4" s="1"/>
  <c r="AJ5" i="4" s="1"/>
  <c r="AK5" i="4" s="1"/>
  <c r="AL5" i="4" s="1"/>
  <c r="AF6" i="4"/>
  <c r="AG6" i="4" s="1"/>
  <c r="AH6" i="4" s="1"/>
  <c r="AI6" i="4" s="1"/>
  <c r="AJ6" i="4" s="1"/>
  <c r="AK6" i="4" s="1"/>
  <c r="AL6" i="4" s="1"/>
  <c r="AF7" i="4"/>
  <c r="AG7" i="4" s="1"/>
  <c r="AH7" i="4" s="1"/>
  <c r="AI7" i="4" s="1"/>
  <c r="AJ7" i="4" s="1"/>
  <c r="AK7" i="4" s="1"/>
  <c r="AL7" i="4" s="1"/>
  <c r="AF11" i="4"/>
  <c r="AF12" i="4"/>
  <c r="AG12" i="4" s="1"/>
  <c r="AH12" i="4" s="1"/>
  <c r="AI12" i="4" s="1"/>
  <c r="AJ12" i="4" s="1"/>
  <c r="AK12" i="4" s="1"/>
  <c r="AL12" i="4" s="1"/>
  <c r="AF13" i="4"/>
  <c r="AG13" i="4" s="1"/>
  <c r="AH13" i="4" s="1"/>
  <c r="AI13" i="4" s="1"/>
  <c r="AJ13" i="4" s="1"/>
  <c r="AK13" i="4" s="1"/>
  <c r="AL13" i="4" s="1"/>
  <c r="AF14" i="4"/>
  <c r="AG14" i="4" s="1"/>
  <c r="AH14" i="4" s="1"/>
  <c r="AI14" i="4" s="1"/>
  <c r="AJ14" i="4" s="1"/>
  <c r="AK14" i="4" s="1"/>
  <c r="AL14" i="4" s="1"/>
  <c r="AF15" i="4"/>
  <c r="AG15" i="4" s="1"/>
  <c r="AH15" i="4" s="1"/>
  <c r="AI15" i="4" s="1"/>
  <c r="AJ15" i="4" s="1"/>
  <c r="AK15" i="4" s="1"/>
  <c r="AL15" i="4" s="1"/>
  <c r="AF19" i="4"/>
  <c r="AF20" i="4"/>
  <c r="AF21" i="4"/>
  <c r="AF22" i="4"/>
  <c r="AG22" i="4" s="1"/>
  <c r="AH22" i="4" s="1"/>
  <c r="AI22" i="4" s="1"/>
  <c r="AJ22" i="4" s="1"/>
  <c r="AK22" i="4" s="1"/>
  <c r="AL22" i="4" s="1"/>
  <c r="AF23" i="4"/>
  <c r="AG23" i="4" s="1"/>
  <c r="AH23" i="4" s="1"/>
  <c r="AI23" i="4" s="1"/>
  <c r="AJ23" i="4" s="1"/>
  <c r="AK23" i="4" s="1"/>
  <c r="AL23" i="4" s="1"/>
  <c r="AF27" i="4"/>
  <c r="AF28" i="4"/>
  <c r="AF29" i="4"/>
  <c r="AF30" i="4"/>
  <c r="AF31" i="4"/>
  <c r="AF35" i="4"/>
  <c r="AF36" i="4"/>
  <c r="AG36" i="4" s="1"/>
  <c r="AH36" i="4" s="1"/>
  <c r="AI36" i="4" s="1"/>
  <c r="AJ36" i="4" s="1"/>
  <c r="AK36" i="4" s="1"/>
  <c r="AL36" i="4" s="1"/>
  <c r="AF37" i="4"/>
  <c r="AG37" i="4" s="1"/>
  <c r="AH37" i="4" s="1"/>
  <c r="AI37" i="4" s="1"/>
  <c r="AJ37" i="4" s="1"/>
  <c r="AK37" i="4" s="1"/>
  <c r="AL37" i="4" s="1"/>
  <c r="AF38" i="4"/>
  <c r="AG38" i="4" s="1"/>
  <c r="AH38" i="4" s="1"/>
  <c r="AI38" i="4" s="1"/>
  <c r="AJ38" i="4" s="1"/>
  <c r="AK38" i="4" s="1"/>
  <c r="AL38" i="4" s="1"/>
  <c r="AF39" i="4"/>
  <c r="AF51" i="4"/>
  <c r="AF52" i="4"/>
  <c r="AG52" i="4" s="1"/>
  <c r="AH52" i="4" s="1"/>
  <c r="AI52" i="4" s="1"/>
  <c r="AJ52" i="4" s="1"/>
  <c r="AK52" i="4" s="1"/>
  <c r="AL52" i="4" s="1"/>
  <c r="AF53" i="4"/>
  <c r="AG53" i="4" s="1"/>
  <c r="AH53" i="4" s="1"/>
  <c r="AI53" i="4" s="1"/>
  <c r="AJ53" i="4" s="1"/>
  <c r="AK53" i="4" s="1"/>
  <c r="AL53" i="4" s="1"/>
  <c r="AF54" i="4"/>
  <c r="AG54" i="4" s="1"/>
  <c r="AH54" i="4" s="1"/>
  <c r="AI54" i="4" s="1"/>
  <c r="AJ54" i="4" s="1"/>
  <c r="AK54" i="4" s="1"/>
  <c r="AL54" i="4" s="1"/>
  <c r="AF55" i="4"/>
  <c r="AG55" i="4" s="1"/>
  <c r="AH55" i="4" s="1"/>
  <c r="AI55" i="4" s="1"/>
  <c r="AJ55" i="4" s="1"/>
  <c r="AK55" i="4" s="1"/>
  <c r="AL55" i="4" s="1"/>
  <c r="AF59" i="4"/>
  <c r="AF60" i="4"/>
  <c r="AF61" i="4"/>
  <c r="AF62" i="4"/>
  <c r="AG62" i="4" s="1"/>
  <c r="AH62" i="4" s="1"/>
  <c r="AI62" i="4" s="1"/>
  <c r="AJ62" i="4" s="1"/>
  <c r="AK62" i="4" s="1"/>
  <c r="AL62" i="4" s="1"/>
  <c r="AF63" i="4"/>
  <c r="AG63" i="4" s="1"/>
  <c r="AH63" i="4" s="1"/>
  <c r="AI63" i="4" s="1"/>
  <c r="AJ63" i="4" s="1"/>
  <c r="AK63" i="4" s="1"/>
  <c r="AL63" i="4" s="1"/>
  <c r="AF3" i="4"/>
  <c r="O23" i="2"/>
  <c r="T23" i="2" s="1"/>
  <c r="U23" i="2" s="1"/>
  <c r="AC39" i="2"/>
  <c r="AG39" i="2" s="1"/>
  <c r="AC40" i="2"/>
  <c r="AG40" i="2" s="1"/>
  <c r="AC41" i="2"/>
  <c r="AC42" i="2"/>
  <c r="AC43" i="2"/>
  <c r="AH43" i="2" s="1"/>
  <c r="AI43" i="2" s="1"/>
  <c r="AC44" i="2"/>
  <c r="AG44" i="2" s="1"/>
  <c r="AC45" i="2"/>
  <c r="AG45" i="2" s="1"/>
  <c r="AC46" i="2"/>
  <c r="AH46" i="2" s="1"/>
  <c r="AC47" i="2"/>
  <c r="AG47" i="2" s="1"/>
  <c r="AC24" i="2"/>
  <c r="AG24" i="2" s="1"/>
  <c r="AC25" i="2"/>
  <c r="AH25" i="2" s="1"/>
  <c r="AI25" i="2" s="1"/>
  <c r="AC26" i="2"/>
  <c r="AG26" i="2" s="1"/>
  <c r="AC27" i="2"/>
  <c r="AH27" i="2" s="1"/>
  <c r="AI27" i="2" s="1"/>
  <c r="AC28" i="2"/>
  <c r="AG28" i="2" s="1"/>
  <c r="AC29" i="2"/>
  <c r="AG29" i="2" s="1"/>
  <c r="AC30" i="2"/>
  <c r="AG30" i="2" s="1"/>
  <c r="AC31" i="2"/>
  <c r="AH31" i="2" s="1"/>
  <c r="AI31" i="2" s="1"/>
  <c r="AC32" i="2"/>
  <c r="AG32" i="2" s="1"/>
  <c r="AG38" i="2"/>
  <c r="AC38" i="2"/>
  <c r="AH38" i="2" s="1"/>
  <c r="AC23" i="2"/>
  <c r="AG23" i="2" s="1"/>
  <c r="AC14" i="2"/>
  <c r="AG14" i="2" s="1"/>
  <c r="AC15" i="2"/>
  <c r="AG15" i="2" s="1"/>
  <c r="AC16" i="2"/>
  <c r="AH16" i="2" s="1"/>
  <c r="AI16" i="2" s="1"/>
  <c r="AC17" i="2"/>
  <c r="AG17" i="2" s="1"/>
  <c r="AC13" i="2"/>
  <c r="AG11" i="4"/>
  <c r="AH11" i="4"/>
  <c r="AI11" i="4" s="1"/>
  <c r="AJ11" i="4" s="1"/>
  <c r="AK11" i="4" s="1"/>
  <c r="AL11" i="4" s="1"/>
  <c r="AG19" i="4"/>
  <c r="AH19" i="4" s="1"/>
  <c r="AI19" i="4" s="1"/>
  <c r="AJ19" i="4" s="1"/>
  <c r="AK19" i="4" s="1"/>
  <c r="AL19" i="4" s="1"/>
  <c r="AM25" i="4" s="1"/>
  <c r="AG20" i="4"/>
  <c r="AH20" i="4" s="1"/>
  <c r="AI20" i="4" s="1"/>
  <c r="AJ20" i="4" s="1"/>
  <c r="AK20" i="4" s="1"/>
  <c r="AL20" i="4" s="1"/>
  <c r="AG21" i="4"/>
  <c r="AH21" i="4" s="1"/>
  <c r="AI21" i="4" s="1"/>
  <c r="AJ21" i="4" s="1"/>
  <c r="AK21" i="4" s="1"/>
  <c r="AL21" i="4" s="1"/>
  <c r="AG27" i="4"/>
  <c r="AH27" i="4" s="1"/>
  <c r="AI27" i="4" s="1"/>
  <c r="AJ27" i="4" s="1"/>
  <c r="AK27" i="4" s="1"/>
  <c r="AL27" i="4" s="1"/>
  <c r="AG28" i="4"/>
  <c r="AH28" i="4" s="1"/>
  <c r="AI28" i="4" s="1"/>
  <c r="AJ28" i="4" s="1"/>
  <c r="AK28" i="4" s="1"/>
  <c r="AL28" i="4" s="1"/>
  <c r="AG29" i="4"/>
  <c r="AH29" i="4" s="1"/>
  <c r="AI29" i="4" s="1"/>
  <c r="AJ29" i="4" s="1"/>
  <c r="AK29" i="4" s="1"/>
  <c r="AL29" i="4" s="1"/>
  <c r="AM33" i="4" s="1"/>
  <c r="AG30" i="4"/>
  <c r="AH30" i="4" s="1"/>
  <c r="AI30" i="4" s="1"/>
  <c r="AJ30" i="4" s="1"/>
  <c r="AK30" i="4" s="1"/>
  <c r="AL30" i="4" s="1"/>
  <c r="AG31" i="4"/>
  <c r="AH31" i="4" s="1"/>
  <c r="AI31" i="4" s="1"/>
  <c r="AJ31" i="4" s="1"/>
  <c r="AK31" i="4" s="1"/>
  <c r="AL31" i="4" s="1"/>
  <c r="AG35" i="4"/>
  <c r="AH35" i="4" s="1"/>
  <c r="AI35" i="4" s="1"/>
  <c r="AJ35" i="4" s="1"/>
  <c r="AK35" i="4" s="1"/>
  <c r="AL35" i="4" s="1"/>
  <c r="AG39" i="4"/>
  <c r="AH39" i="4"/>
  <c r="AI39" i="4" s="1"/>
  <c r="AJ39" i="4" s="1"/>
  <c r="AK39" i="4" s="1"/>
  <c r="AL39" i="4" s="1"/>
  <c r="AG51" i="4"/>
  <c r="AH51" i="4" s="1"/>
  <c r="AI51" i="4" s="1"/>
  <c r="AJ51" i="4" s="1"/>
  <c r="AK51" i="4" s="1"/>
  <c r="AL51" i="4" s="1"/>
  <c r="AG59" i="4"/>
  <c r="AH59" i="4" s="1"/>
  <c r="AI59" i="4" s="1"/>
  <c r="AJ59" i="4" s="1"/>
  <c r="AK59" i="4" s="1"/>
  <c r="AL59" i="4" s="1"/>
  <c r="AG60" i="4"/>
  <c r="AH60" i="4" s="1"/>
  <c r="AI60" i="4" s="1"/>
  <c r="AJ60" i="4" s="1"/>
  <c r="AK60" i="4" s="1"/>
  <c r="AL60" i="4" s="1"/>
  <c r="AG61" i="4"/>
  <c r="AH61" i="4" s="1"/>
  <c r="AI61" i="4" s="1"/>
  <c r="AJ61" i="4" s="1"/>
  <c r="AK61" i="4" s="1"/>
  <c r="AL61" i="4" s="1"/>
  <c r="AG3" i="4"/>
  <c r="AH3" i="4" s="1"/>
  <c r="AI3" i="4" s="1"/>
  <c r="AJ3" i="4" s="1"/>
  <c r="AK3" i="4" s="1"/>
  <c r="AL3" i="4" s="1"/>
  <c r="N21" i="3" l="1"/>
  <c r="O21" i="3" s="1"/>
  <c r="N13" i="3"/>
  <c r="O13" i="3" s="1"/>
  <c r="AR42" i="3"/>
  <c r="AS42" i="3" s="1"/>
  <c r="AC16" i="3"/>
  <c r="AD16" i="3" s="1"/>
  <c r="AR27" i="3"/>
  <c r="AS27" i="3" s="1"/>
  <c r="N20" i="3"/>
  <c r="O20" i="3" s="1"/>
  <c r="AC12" i="3"/>
  <c r="AD12" i="3" s="1"/>
  <c r="AR31" i="3"/>
  <c r="AS31" i="3" s="1"/>
  <c r="X47" i="3"/>
  <c r="Y47" i="3" s="1"/>
  <c r="Z47" i="3" s="1"/>
  <c r="AA47" i="3" s="1"/>
  <c r="AB47" i="3" s="1"/>
  <c r="AC47" i="3" s="1"/>
  <c r="AD47" i="3" s="1"/>
  <c r="W47" i="3"/>
  <c r="AL45" i="3"/>
  <c r="AM45" i="3"/>
  <c r="AN45" i="3" s="1"/>
  <c r="AO45" i="3" s="1"/>
  <c r="AP45" i="3" s="1"/>
  <c r="AQ45" i="3" s="1"/>
  <c r="AR45" i="3" s="1"/>
  <c r="AS45" i="3" s="1"/>
  <c r="X48" i="3"/>
  <c r="Y48" i="3" s="1"/>
  <c r="Z48" i="3" s="1"/>
  <c r="AA48" i="3" s="1"/>
  <c r="AB48" i="3" s="1"/>
  <c r="AC48" i="3" s="1"/>
  <c r="AD48" i="3" s="1"/>
  <c r="W48" i="3"/>
  <c r="AL46" i="3"/>
  <c r="AM46" i="3"/>
  <c r="AN46" i="3" s="1"/>
  <c r="AO46" i="3" s="1"/>
  <c r="AP46" i="3" s="1"/>
  <c r="AQ46" i="3" s="1"/>
  <c r="AR46" i="3" s="1"/>
  <c r="AS46" i="3" s="1"/>
  <c r="W49" i="3"/>
  <c r="X49" i="3"/>
  <c r="Y49" i="3" s="1"/>
  <c r="Z49" i="3" s="1"/>
  <c r="AA49" i="3" s="1"/>
  <c r="AB49" i="3" s="1"/>
  <c r="AC49" i="3" s="1"/>
  <c r="AD49" i="3" s="1"/>
  <c r="AM47" i="3"/>
  <c r="AN47" i="3" s="1"/>
  <c r="AO47" i="3" s="1"/>
  <c r="AP47" i="3" s="1"/>
  <c r="AQ47" i="3" s="1"/>
  <c r="AR47" i="3" s="1"/>
  <c r="AS47" i="3" s="1"/>
  <c r="AL47" i="3"/>
  <c r="AM48" i="3"/>
  <c r="AN48" i="3" s="1"/>
  <c r="AO48" i="3" s="1"/>
  <c r="AP48" i="3" s="1"/>
  <c r="AQ48" i="3" s="1"/>
  <c r="AR48" i="3" s="1"/>
  <c r="AS48" i="3" s="1"/>
  <c r="AL48" i="3"/>
  <c r="X43" i="3"/>
  <c r="Y43" i="3" s="1"/>
  <c r="Z43" i="3" s="1"/>
  <c r="AA43" i="3" s="1"/>
  <c r="AB43" i="3" s="1"/>
  <c r="AC43" i="3" s="1"/>
  <c r="AD43" i="3" s="1"/>
  <c r="W43" i="3"/>
  <c r="X51" i="3"/>
  <c r="Y51" i="3" s="1"/>
  <c r="Z51" i="3" s="1"/>
  <c r="AA51" i="3" s="1"/>
  <c r="AB51" i="3" s="1"/>
  <c r="AC51" i="3" s="1"/>
  <c r="AD51" i="3" s="1"/>
  <c r="W51" i="3"/>
  <c r="AM49" i="3"/>
  <c r="AN49" i="3" s="1"/>
  <c r="AO49" i="3" s="1"/>
  <c r="AP49" i="3" s="1"/>
  <c r="AQ49" i="3" s="1"/>
  <c r="AR49" i="3" s="1"/>
  <c r="AS49" i="3" s="1"/>
  <c r="AL49" i="3"/>
  <c r="AM12" i="3"/>
  <c r="AN12" i="3" s="1"/>
  <c r="AO12" i="3" s="1"/>
  <c r="AP12" i="3" s="1"/>
  <c r="AQ12" i="3" s="1"/>
  <c r="AR12" i="3" s="1"/>
  <c r="AS12" i="3" s="1"/>
  <c r="AL12" i="3"/>
  <c r="X44" i="3"/>
  <c r="Y44" i="3" s="1"/>
  <c r="Z44" i="3" s="1"/>
  <c r="AA44" i="3" s="1"/>
  <c r="AB44" i="3" s="1"/>
  <c r="AC44" i="3" s="1"/>
  <c r="AD44" i="3" s="1"/>
  <c r="W44" i="3"/>
  <c r="AL50" i="3"/>
  <c r="AM50" i="3"/>
  <c r="AN50" i="3" s="1"/>
  <c r="AO50" i="3" s="1"/>
  <c r="AP50" i="3" s="1"/>
  <c r="AQ50" i="3" s="1"/>
  <c r="AR50" i="3" s="1"/>
  <c r="AS50" i="3" s="1"/>
  <c r="W45" i="3"/>
  <c r="X45" i="3"/>
  <c r="Y45" i="3" s="1"/>
  <c r="Z45" i="3" s="1"/>
  <c r="AA45" i="3" s="1"/>
  <c r="AB45" i="3" s="1"/>
  <c r="AC45" i="3" s="1"/>
  <c r="AD45" i="3" s="1"/>
  <c r="AM43" i="3"/>
  <c r="AN43" i="3" s="1"/>
  <c r="AO43" i="3" s="1"/>
  <c r="AP43" i="3" s="1"/>
  <c r="AQ43" i="3" s="1"/>
  <c r="AR43" i="3" s="1"/>
  <c r="AS43" i="3" s="1"/>
  <c r="AL43" i="3"/>
  <c r="AM51" i="3"/>
  <c r="AN51" i="3" s="1"/>
  <c r="AO51" i="3" s="1"/>
  <c r="AP51" i="3" s="1"/>
  <c r="AQ51" i="3" s="1"/>
  <c r="AR51" i="3" s="1"/>
  <c r="AS51" i="3" s="1"/>
  <c r="AL51" i="3"/>
  <c r="X46" i="3"/>
  <c r="Y46" i="3" s="1"/>
  <c r="Z46" i="3" s="1"/>
  <c r="AA46" i="3" s="1"/>
  <c r="AB46" i="3" s="1"/>
  <c r="AC46" i="3" s="1"/>
  <c r="AD46" i="3" s="1"/>
  <c r="W46" i="3"/>
  <c r="AM44" i="3"/>
  <c r="AN44" i="3" s="1"/>
  <c r="AO44" i="3" s="1"/>
  <c r="AP44" i="3" s="1"/>
  <c r="AQ44" i="3" s="1"/>
  <c r="AR44" i="3" s="1"/>
  <c r="AS44" i="3" s="1"/>
  <c r="AL44" i="3"/>
  <c r="AL27" i="3"/>
  <c r="X50" i="3"/>
  <c r="Y50" i="3" s="1"/>
  <c r="Z50" i="3" s="1"/>
  <c r="AA50" i="3" s="1"/>
  <c r="AB50" i="3" s="1"/>
  <c r="AC50" i="3" s="1"/>
  <c r="AD50" i="3" s="1"/>
  <c r="V42" i="3"/>
  <c r="P53" i="3"/>
  <c r="P52" i="3"/>
  <c r="W12" i="3"/>
  <c r="W27" i="3"/>
  <c r="AE53" i="3"/>
  <c r="AE52" i="3"/>
  <c r="AL42" i="3"/>
  <c r="AM34" i="3"/>
  <c r="AN34" i="3" s="1"/>
  <c r="AO34" i="3" s="1"/>
  <c r="AP34" i="3" s="1"/>
  <c r="AQ34" i="3" s="1"/>
  <c r="AR34" i="3" s="1"/>
  <c r="AS34" i="3" s="1"/>
  <c r="AL34" i="3"/>
  <c r="AM28" i="3"/>
  <c r="AN28" i="3" s="1"/>
  <c r="AO28" i="3" s="1"/>
  <c r="AP28" i="3" s="1"/>
  <c r="AQ28" i="3" s="1"/>
  <c r="AR28" i="3" s="1"/>
  <c r="AS28" i="3" s="1"/>
  <c r="AL28" i="3"/>
  <c r="AM36" i="3"/>
  <c r="AN36" i="3" s="1"/>
  <c r="AO36" i="3" s="1"/>
  <c r="AP36" i="3" s="1"/>
  <c r="AQ36" i="3" s="1"/>
  <c r="AR36" i="3" s="1"/>
  <c r="AS36" i="3" s="1"/>
  <c r="AL36" i="3"/>
  <c r="X31" i="3"/>
  <c r="Y31" i="3" s="1"/>
  <c r="Z31" i="3" s="1"/>
  <c r="AA31" i="3" s="1"/>
  <c r="AB31" i="3" s="1"/>
  <c r="AC31" i="3" s="1"/>
  <c r="AD31" i="3" s="1"/>
  <c r="W31" i="3"/>
  <c r="X35" i="3"/>
  <c r="Y35" i="3" s="1"/>
  <c r="Z35" i="3" s="1"/>
  <c r="AA35" i="3" s="1"/>
  <c r="AB35" i="3" s="1"/>
  <c r="AC35" i="3" s="1"/>
  <c r="AD35" i="3" s="1"/>
  <c r="W35" i="3"/>
  <c r="AL30" i="3"/>
  <c r="AM30" i="3"/>
  <c r="AN30" i="3" s="1"/>
  <c r="AO30" i="3" s="1"/>
  <c r="AP30" i="3" s="1"/>
  <c r="AQ30" i="3" s="1"/>
  <c r="AR30" i="3" s="1"/>
  <c r="AS30" i="3" s="1"/>
  <c r="X28" i="3"/>
  <c r="Y28" i="3" s="1"/>
  <c r="Z28" i="3" s="1"/>
  <c r="AA28" i="3" s="1"/>
  <c r="AB28" i="3" s="1"/>
  <c r="AC28" i="3" s="1"/>
  <c r="AD28" i="3" s="1"/>
  <c r="W28" i="3"/>
  <c r="X36" i="3"/>
  <c r="Y36" i="3" s="1"/>
  <c r="Z36" i="3" s="1"/>
  <c r="AA36" i="3" s="1"/>
  <c r="AB36" i="3" s="1"/>
  <c r="AC36" i="3" s="1"/>
  <c r="AD36" i="3" s="1"/>
  <c r="W36" i="3"/>
  <c r="AL29" i="3"/>
  <c r="AM29" i="3"/>
  <c r="AN29" i="3" s="1"/>
  <c r="AO29" i="3" s="1"/>
  <c r="AP29" i="3" s="1"/>
  <c r="AQ29" i="3" s="1"/>
  <c r="AR29" i="3" s="1"/>
  <c r="AS29" i="3" s="1"/>
  <c r="X29" i="3"/>
  <c r="Y29" i="3" s="1"/>
  <c r="Z29" i="3" s="1"/>
  <c r="AA29" i="3" s="1"/>
  <c r="AB29" i="3" s="1"/>
  <c r="AC29" i="3" s="1"/>
  <c r="AD29" i="3" s="1"/>
  <c r="W29" i="3"/>
  <c r="AM32" i="3"/>
  <c r="AN32" i="3" s="1"/>
  <c r="AO32" i="3" s="1"/>
  <c r="AP32" i="3" s="1"/>
  <c r="AQ32" i="3" s="1"/>
  <c r="AR32" i="3" s="1"/>
  <c r="AS32" i="3" s="1"/>
  <c r="AL32" i="3"/>
  <c r="X30" i="3"/>
  <c r="Y30" i="3" s="1"/>
  <c r="Z30" i="3" s="1"/>
  <c r="AA30" i="3" s="1"/>
  <c r="AB30" i="3" s="1"/>
  <c r="AC30" i="3" s="1"/>
  <c r="AD30" i="3" s="1"/>
  <c r="W30" i="3"/>
  <c r="AL33" i="3"/>
  <c r="AM33" i="3"/>
  <c r="AN33" i="3" s="1"/>
  <c r="AO33" i="3" s="1"/>
  <c r="AP33" i="3" s="1"/>
  <c r="AQ33" i="3" s="1"/>
  <c r="AR33" i="3" s="1"/>
  <c r="AS33" i="3" s="1"/>
  <c r="X32" i="3"/>
  <c r="Y32" i="3" s="1"/>
  <c r="Z32" i="3" s="1"/>
  <c r="AA32" i="3" s="1"/>
  <c r="AB32" i="3" s="1"/>
  <c r="AC32" i="3" s="1"/>
  <c r="AD32" i="3" s="1"/>
  <c r="W32" i="3"/>
  <c r="AL35" i="3"/>
  <c r="AM35" i="3"/>
  <c r="AN35" i="3" s="1"/>
  <c r="AO35" i="3" s="1"/>
  <c r="AP35" i="3" s="1"/>
  <c r="AQ35" i="3" s="1"/>
  <c r="AR35" i="3" s="1"/>
  <c r="AS35" i="3" s="1"/>
  <c r="X33" i="3"/>
  <c r="Y33" i="3" s="1"/>
  <c r="Z33" i="3" s="1"/>
  <c r="AA33" i="3" s="1"/>
  <c r="AB33" i="3" s="1"/>
  <c r="AC33" i="3" s="1"/>
  <c r="AD33" i="3" s="1"/>
  <c r="W33" i="3"/>
  <c r="H16" i="3"/>
  <c r="N19" i="3"/>
  <c r="O19" i="3" s="1"/>
  <c r="AL31" i="3"/>
  <c r="W34" i="3"/>
  <c r="AL16" i="3"/>
  <c r="AM16" i="3"/>
  <c r="AN16" i="3" s="1"/>
  <c r="AO16" i="3" s="1"/>
  <c r="AP16" i="3" s="1"/>
  <c r="AQ16" i="3" s="1"/>
  <c r="AR16" i="3" s="1"/>
  <c r="AS16" i="3" s="1"/>
  <c r="W19" i="3"/>
  <c r="X19" i="3"/>
  <c r="Y19" i="3" s="1"/>
  <c r="Z19" i="3" s="1"/>
  <c r="AA19" i="3" s="1"/>
  <c r="AB19" i="3" s="1"/>
  <c r="AC19" i="3" s="1"/>
  <c r="AD19" i="3" s="1"/>
  <c r="H17" i="3"/>
  <c r="N18" i="3"/>
  <c r="O18" i="3" s="1"/>
  <c r="N17" i="3"/>
  <c r="O17" i="3" s="1"/>
  <c r="H18" i="3"/>
  <c r="X18" i="3"/>
  <c r="Y18" i="3" s="1"/>
  <c r="Z18" i="3" s="1"/>
  <c r="AA18" i="3" s="1"/>
  <c r="AB18" i="3" s="1"/>
  <c r="AC18" i="3" s="1"/>
  <c r="AD18" i="3" s="1"/>
  <c r="W18" i="3"/>
  <c r="AM17" i="3"/>
  <c r="AN17" i="3" s="1"/>
  <c r="AO17" i="3" s="1"/>
  <c r="AP17" i="3" s="1"/>
  <c r="AQ17" i="3" s="1"/>
  <c r="AR17" i="3" s="1"/>
  <c r="AS17" i="3" s="1"/>
  <c r="AL17" i="3"/>
  <c r="AM19" i="3"/>
  <c r="AN19" i="3" s="1"/>
  <c r="AO19" i="3" s="1"/>
  <c r="AP19" i="3" s="1"/>
  <c r="AQ19" i="3" s="1"/>
  <c r="AR19" i="3" s="1"/>
  <c r="AS19" i="3" s="1"/>
  <c r="AL19" i="3"/>
  <c r="W20" i="3"/>
  <c r="X20" i="3"/>
  <c r="Y20" i="3" s="1"/>
  <c r="Z20" i="3" s="1"/>
  <c r="AA20" i="3" s="1"/>
  <c r="AB20" i="3" s="1"/>
  <c r="AC20" i="3" s="1"/>
  <c r="AD20" i="3" s="1"/>
  <c r="AM20" i="3"/>
  <c r="AN20" i="3" s="1"/>
  <c r="AO20" i="3" s="1"/>
  <c r="AP20" i="3" s="1"/>
  <c r="AQ20" i="3" s="1"/>
  <c r="AR20" i="3" s="1"/>
  <c r="AS20" i="3" s="1"/>
  <c r="AL20" i="3"/>
  <c r="X21" i="3"/>
  <c r="Y21" i="3" s="1"/>
  <c r="Z21" i="3" s="1"/>
  <c r="AA21" i="3" s="1"/>
  <c r="AB21" i="3" s="1"/>
  <c r="AC21" i="3" s="1"/>
  <c r="AD21" i="3" s="1"/>
  <c r="W21" i="3"/>
  <c r="W15" i="3"/>
  <c r="X15" i="3"/>
  <c r="Y15" i="3" s="1"/>
  <c r="Z15" i="3" s="1"/>
  <c r="AA15" i="3" s="1"/>
  <c r="AB15" i="3" s="1"/>
  <c r="AC15" i="3" s="1"/>
  <c r="AD15" i="3" s="1"/>
  <c r="AL21" i="3"/>
  <c r="AM21" i="3"/>
  <c r="AN21" i="3" s="1"/>
  <c r="AO21" i="3" s="1"/>
  <c r="AP21" i="3" s="1"/>
  <c r="AQ21" i="3" s="1"/>
  <c r="AR21" i="3" s="1"/>
  <c r="AS21" i="3" s="1"/>
  <c r="X14" i="3"/>
  <c r="Y14" i="3" s="1"/>
  <c r="Z14" i="3" s="1"/>
  <c r="AA14" i="3" s="1"/>
  <c r="AB14" i="3" s="1"/>
  <c r="AC14" i="3" s="1"/>
  <c r="AD14" i="3" s="1"/>
  <c r="W14" i="3"/>
  <c r="AM14" i="3"/>
  <c r="AN14" i="3" s="1"/>
  <c r="AO14" i="3" s="1"/>
  <c r="AP14" i="3" s="1"/>
  <c r="AQ14" i="3" s="1"/>
  <c r="AR14" i="3" s="1"/>
  <c r="AS14" i="3" s="1"/>
  <c r="AL14" i="3"/>
  <c r="AL18" i="3"/>
  <c r="AM18" i="3"/>
  <c r="AN18" i="3" s="1"/>
  <c r="AO18" i="3" s="1"/>
  <c r="AP18" i="3" s="1"/>
  <c r="AQ18" i="3" s="1"/>
  <c r="AR18" i="3" s="1"/>
  <c r="AS18" i="3" s="1"/>
  <c r="X13" i="3"/>
  <c r="Y13" i="3" s="1"/>
  <c r="Z13" i="3" s="1"/>
  <c r="AA13" i="3" s="1"/>
  <c r="AB13" i="3" s="1"/>
  <c r="AC13" i="3" s="1"/>
  <c r="AD13" i="3" s="1"/>
  <c r="W13" i="3"/>
  <c r="X17" i="3"/>
  <c r="Y17" i="3" s="1"/>
  <c r="Z17" i="3" s="1"/>
  <c r="AA17" i="3" s="1"/>
  <c r="AB17" i="3" s="1"/>
  <c r="AC17" i="3" s="1"/>
  <c r="AD17" i="3" s="1"/>
  <c r="W17" i="3"/>
  <c r="AM15" i="3"/>
  <c r="AN15" i="3" s="1"/>
  <c r="AO15" i="3" s="1"/>
  <c r="AP15" i="3" s="1"/>
  <c r="AQ15" i="3" s="1"/>
  <c r="AR15" i="3" s="1"/>
  <c r="AS15" i="3" s="1"/>
  <c r="AL15" i="3"/>
  <c r="N16" i="3"/>
  <c r="O16" i="3" s="1"/>
  <c r="H15" i="3"/>
  <c r="N15" i="3"/>
  <c r="O15" i="3" s="1"/>
  <c r="H14" i="3"/>
  <c r="N14" i="3"/>
  <c r="O14" i="3" s="1"/>
  <c r="H21" i="3"/>
  <c r="H13" i="3"/>
  <c r="H20" i="3"/>
  <c r="AL13" i="3"/>
  <c r="W16" i="3"/>
  <c r="H19" i="3"/>
  <c r="AI38" i="2"/>
  <c r="AJ38" i="2"/>
  <c r="AK38" i="2" s="1"/>
  <c r="AL38" i="2" s="1"/>
  <c r="AM38" i="2" s="1"/>
  <c r="AN38" i="2" s="1"/>
  <c r="AO38" i="2" s="1"/>
  <c r="AP38" i="2" s="1"/>
  <c r="AJ46" i="2"/>
  <c r="AK46" i="2" s="1"/>
  <c r="AL46" i="2" s="1"/>
  <c r="AM46" i="2" s="1"/>
  <c r="AN46" i="2" s="1"/>
  <c r="AI46" i="2"/>
  <c r="AJ13" i="2"/>
  <c r="AK13" i="2" s="1"/>
  <c r="AL13" i="2" s="1"/>
  <c r="AM13" i="2" s="1"/>
  <c r="AN13" i="2" s="1"/>
  <c r="AJ42" i="2"/>
  <c r="AK42" i="2" s="1"/>
  <c r="AL42" i="2" s="1"/>
  <c r="AM42" i="2" s="1"/>
  <c r="AN42" i="2" s="1"/>
  <c r="AG46" i="2"/>
  <c r="AH23" i="2"/>
  <c r="AH40" i="2"/>
  <c r="AI40" i="2" s="1"/>
  <c r="AH30" i="2"/>
  <c r="AH14" i="2"/>
  <c r="AI14" i="2" s="1"/>
  <c r="AI18" i="2" s="1"/>
  <c r="AI19" i="2" s="1"/>
  <c r="AH28" i="2"/>
  <c r="AI28" i="2" s="1"/>
  <c r="AJ29" i="2"/>
  <c r="AK29" i="2" s="1"/>
  <c r="AL29" i="2" s="1"/>
  <c r="AM29" i="2" s="1"/>
  <c r="AN29" i="2" s="1"/>
  <c r="AO29" i="2" s="1"/>
  <c r="AP29" i="2" s="1"/>
  <c r="AH15" i="2"/>
  <c r="AI15" i="2" s="1"/>
  <c r="AH45" i="2"/>
  <c r="AG31" i="2"/>
  <c r="AH44" i="2"/>
  <c r="AI44" i="2" s="1"/>
  <c r="AH26" i="2"/>
  <c r="AI26" i="2" s="1"/>
  <c r="AH17" i="2"/>
  <c r="AI17" i="2" s="1"/>
  <c r="AH42" i="2"/>
  <c r="AI42" i="2" s="1"/>
  <c r="AH32" i="2"/>
  <c r="AI32" i="2" s="1"/>
  <c r="AH24" i="2"/>
  <c r="AI24" i="2" s="1"/>
  <c r="AJ41" i="2"/>
  <c r="AK41" i="2" s="1"/>
  <c r="AL41" i="2" s="1"/>
  <c r="AM41" i="2" s="1"/>
  <c r="AN41" i="2" s="1"/>
  <c r="AH41" i="2"/>
  <c r="AI41" i="2" s="1"/>
  <c r="G12" i="3"/>
  <c r="AJ27" i="2"/>
  <c r="AK27" i="2" s="1"/>
  <c r="AL27" i="2" s="1"/>
  <c r="AM27" i="2" s="1"/>
  <c r="AN27" i="2" s="1"/>
  <c r="AJ25" i="2"/>
  <c r="AK25" i="2" s="1"/>
  <c r="AL25" i="2" s="1"/>
  <c r="AM25" i="2" s="1"/>
  <c r="AN25" i="2" s="1"/>
  <c r="AJ47" i="2"/>
  <c r="AK47" i="2" s="1"/>
  <c r="AL47" i="2" s="1"/>
  <c r="AM47" i="2" s="1"/>
  <c r="AN47" i="2" s="1"/>
  <c r="AO47" i="2" s="1"/>
  <c r="AP47" i="2" s="1"/>
  <c r="AJ39" i="2"/>
  <c r="AK39" i="2" s="1"/>
  <c r="AL39" i="2" s="1"/>
  <c r="AM39" i="2" s="1"/>
  <c r="AN39" i="2" s="1"/>
  <c r="AO39" i="2" s="1"/>
  <c r="AP39" i="2" s="1"/>
  <c r="AJ43" i="2"/>
  <c r="AK43" i="2" s="1"/>
  <c r="AL43" i="2" s="1"/>
  <c r="AM43" i="2" s="1"/>
  <c r="AN43" i="2" s="1"/>
  <c r="AJ16" i="2"/>
  <c r="AK16" i="2" s="1"/>
  <c r="AL16" i="2" s="1"/>
  <c r="AM16" i="2" s="1"/>
  <c r="AN16" i="2" s="1"/>
  <c r="AJ31" i="2"/>
  <c r="AK31" i="2" s="1"/>
  <c r="AL31" i="2" s="1"/>
  <c r="AM31" i="2" s="1"/>
  <c r="AN31" i="2" s="1"/>
  <c r="AO31" i="2" s="1"/>
  <c r="AP31" i="2" s="1"/>
  <c r="AM17" i="4"/>
  <c r="AM16" i="4"/>
  <c r="AM40" i="4"/>
  <c r="AM41" i="4"/>
  <c r="AM32" i="4"/>
  <c r="AM9" i="4"/>
  <c r="AM24" i="4"/>
  <c r="AM8" i="4"/>
  <c r="AJ17" i="2"/>
  <c r="AK17" i="2" s="1"/>
  <c r="AL17" i="2" s="1"/>
  <c r="AM17" i="2" s="1"/>
  <c r="AN17" i="2" s="1"/>
  <c r="AO17" i="2" s="1"/>
  <c r="AP17" i="2" s="1"/>
  <c r="AG42" i="2"/>
  <c r="AG25" i="2"/>
  <c r="AG41" i="2"/>
  <c r="AJ26" i="2"/>
  <c r="AK26" i="2" s="1"/>
  <c r="AL26" i="2" s="1"/>
  <c r="AM26" i="2" s="1"/>
  <c r="AN26" i="2" s="1"/>
  <c r="AO26" i="2" s="1"/>
  <c r="AP26" i="2" s="1"/>
  <c r="AJ32" i="2"/>
  <c r="AK32" i="2" s="1"/>
  <c r="AL32" i="2" s="1"/>
  <c r="AM32" i="2" s="1"/>
  <c r="AN32" i="2" s="1"/>
  <c r="AO32" i="2" s="1"/>
  <c r="AP32" i="2" s="1"/>
  <c r="AJ28" i="2"/>
  <c r="AK28" i="2" s="1"/>
  <c r="AL28" i="2" s="1"/>
  <c r="AM28" i="2" s="1"/>
  <c r="AN28" i="2" s="1"/>
  <c r="AO28" i="2" s="1"/>
  <c r="AP28" i="2" s="1"/>
  <c r="AJ44" i="2"/>
  <c r="AK44" i="2" s="1"/>
  <c r="AL44" i="2" s="1"/>
  <c r="AM44" i="2" s="1"/>
  <c r="AN44" i="2" s="1"/>
  <c r="AO44" i="2" s="1"/>
  <c r="AP44" i="2" s="1"/>
  <c r="AJ40" i="2"/>
  <c r="AK40" i="2" s="1"/>
  <c r="AL40" i="2" s="1"/>
  <c r="AM40" i="2" s="1"/>
  <c r="AN40" i="2" s="1"/>
  <c r="AO40" i="2" s="1"/>
  <c r="AP40" i="2" s="1"/>
  <c r="AG16" i="2"/>
  <c r="AG13" i="2"/>
  <c r="AO13" i="2" s="1"/>
  <c r="AP13" i="2" s="1"/>
  <c r="AJ14" i="2"/>
  <c r="AK14" i="2" s="1"/>
  <c r="AL14" i="2" s="1"/>
  <c r="AM14" i="2" s="1"/>
  <c r="AN14" i="2" s="1"/>
  <c r="AO14" i="2" s="1"/>
  <c r="AP14" i="2" s="1"/>
  <c r="AG27" i="2"/>
  <c r="AG43" i="2"/>
  <c r="AO43" i="2" s="1"/>
  <c r="AP43" i="2" s="1"/>
  <c r="AS53" i="3" l="1"/>
  <c r="AD38" i="3"/>
  <c r="AP49" i="2"/>
  <c r="AV50" i="2" s="1"/>
  <c r="AO41" i="2"/>
  <c r="AP41" i="2" s="1"/>
  <c r="AS52" i="3"/>
  <c r="AD23" i="3"/>
  <c r="AS38" i="3"/>
  <c r="AS37" i="3"/>
  <c r="X42" i="3"/>
  <c r="Y42" i="3" s="1"/>
  <c r="Z42" i="3" s="1"/>
  <c r="AA42" i="3" s="1"/>
  <c r="AB42" i="3" s="1"/>
  <c r="AC42" i="3" s="1"/>
  <c r="AD42" i="3" s="1"/>
  <c r="W42" i="3"/>
  <c r="AL38" i="3"/>
  <c r="AZ46" i="3" s="1"/>
  <c r="AL37" i="3"/>
  <c r="AY46" i="3" s="1"/>
  <c r="AL53" i="3"/>
  <c r="AZ52" i="3" s="1"/>
  <c r="AL52" i="3"/>
  <c r="AY52" i="3" s="1"/>
  <c r="AD22" i="3"/>
  <c r="AL23" i="3"/>
  <c r="AZ39" i="3" s="1"/>
  <c r="AL22" i="3"/>
  <c r="AY39" i="3" s="1"/>
  <c r="AS23" i="3"/>
  <c r="AS22" i="3"/>
  <c r="W38" i="3"/>
  <c r="AZ45" i="3" s="1"/>
  <c r="W37" i="3"/>
  <c r="AY45" i="3" s="1"/>
  <c r="W23" i="3"/>
  <c r="AZ38" i="3" s="1"/>
  <c r="W22" i="3"/>
  <c r="AY38" i="3" s="1"/>
  <c r="AD37" i="3"/>
  <c r="I12" i="3"/>
  <c r="J12" i="3" s="1"/>
  <c r="K12" i="3" s="1"/>
  <c r="L12" i="3" s="1"/>
  <c r="M12" i="3" s="1"/>
  <c r="N12" i="3" s="1"/>
  <c r="O12" i="3" s="1"/>
  <c r="H12" i="3"/>
  <c r="AJ45" i="2"/>
  <c r="AK45" i="2" s="1"/>
  <c r="AL45" i="2" s="1"/>
  <c r="AM45" i="2" s="1"/>
  <c r="AN45" i="2" s="1"/>
  <c r="AO45" i="2" s="1"/>
  <c r="AP45" i="2" s="1"/>
  <c r="AP48" i="2" s="1"/>
  <c r="AU50" i="2" s="1"/>
  <c r="AI45" i="2"/>
  <c r="AJ15" i="2"/>
  <c r="AK15" i="2" s="1"/>
  <c r="AL15" i="2" s="1"/>
  <c r="AM15" i="2" s="1"/>
  <c r="AN15" i="2" s="1"/>
  <c r="AO15" i="2" s="1"/>
  <c r="AP15" i="2" s="1"/>
  <c r="AJ24" i="2"/>
  <c r="AK24" i="2" s="1"/>
  <c r="AL24" i="2" s="1"/>
  <c r="AM24" i="2" s="1"/>
  <c r="AN24" i="2" s="1"/>
  <c r="AO24" i="2" s="1"/>
  <c r="AP24" i="2" s="1"/>
  <c r="AO42" i="2"/>
  <c r="AP42" i="2" s="1"/>
  <c r="AJ30" i="2"/>
  <c r="AK30" i="2" s="1"/>
  <c r="AL30" i="2" s="1"/>
  <c r="AM30" i="2" s="1"/>
  <c r="AN30" i="2" s="1"/>
  <c r="AO30" i="2" s="1"/>
  <c r="AP30" i="2" s="1"/>
  <c r="AI30" i="2"/>
  <c r="AO46" i="2"/>
  <c r="AP46" i="2" s="1"/>
  <c r="AO16" i="2"/>
  <c r="AP16" i="2" s="1"/>
  <c r="AJ23" i="2"/>
  <c r="AK23" i="2" s="1"/>
  <c r="AL23" i="2" s="1"/>
  <c r="AM23" i="2" s="1"/>
  <c r="AN23" i="2" s="1"/>
  <c r="AO23" i="2" s="1"/>
  <c r="AP23" i="2" s="1"/>
  <c r="AI23" i="2"/>
  <c r="AO25" i="2"/>
  <c r="AP25" i="2" s="1"/>
  <c r="AO27" i="2"/>
  <c r="AP27" i="2" s="1"/>
  <c r="AP18" i="2" l="1"/>
  <c r="AP19" i="2" s="1"/>
  <c r="AP33" i="2"/>
  <c r="AP34" i="2"/>
  <c r="H23" i="3"/>
  <c r="AZ37" i="3" s="1"/>
  <c r="H22" i="3"/>
  <c r="AY37" i="3" s="1"/>
  <c r="W53" i="3"/>
  <c r="AZ51" i="3" s="1"/>
  <c r="W52" i="3"/>
  <c r="AY51" i="3" s="1"/>
  <c r="O23" i="3"/>
  <c r="O22" i="3"/>
  <c r="AD53" i="3"/>
  <c r="AD52" i="3"/>
  <c r="S29" i="2"/>
  <c r="V23" i="2"/>
  <c r="W23" i="2" s="1"/>
  <c r="X23" i="2" s="1"/>
  <c r="Y23" i="2" s="1"/>
  <c r="Z23" i="2" s="1"/>
  <c r="S23" i="2"/>
  <c r="O39" i="2"/>
  <c r="O40" i="2"/>
  <c r="O41" i="2"/>
  <c r="O42" i="2"/>
  <c r="O43" i="2"/>
  <c r="O44" i="2"/>
  <c r="O45" i="2"/>
  <c r="T45" i="2" s="1"/>
  <c r="O46" i="2"/>
  <c r="T46" i="2" s="1"/>
  <c r="O47" i="2"/>
  <c r="O38" i="2"/>
  <c r="O24" i="2"/>
  <c r="O25" i="2"/>
  <c r="O26" i="2"/>
  <c r="T26" i="2" s="1"/>
  <c r="O27" i="2"/>
  <c r="O28" i="2"/>
  <c r="O29" i="2"/>
  <c r="T29" i="2" s="1"/>
  <c r="O30" i="2"/>
  <c r="T30" i="2" s="1"/>
  <c r="O31" i="2"/>
  <c r="O32" i="2"/>
  <c r="O14" i="2"/>
  <c r="O15" i="2"/>
  <c r="T15" i="2" s="1"/>
  <c r="O16" i="2"/>
  <c r="T16" i="2" s="1"/>
  <c r="O17" i="2"/>
  <c r="O13" i="2"/>
  <c r="E41" i="2"/>
  <c r="H39" i="2"/>
  <c r="I39" i="2" s="1"/>
  <c r="J39" i="2" s="1"/>
  <c r="K39" i="2" s="1"/>
  <c r="L39" i="2" s="1"/>
  <c r="A40" i="2"/>
  <c r="A41" i="2"/>
  <c r="A42" i="2"/>
  <c r="A43" i="2"/>
  <c r="A44" i="2"/>
  <c r="A45" i="2"/>
  <c r="A46" i="2"/>
  <c r="A47" i="2"/>
  <c r="E38" i="2"/>
  <c r="A28" i="2"/>
  <c r="A29" i="2"/>
  <c r="A30" i="2"/>
  <c r="A31" i="2"/>
  <c r="A32" i="2"/>
  <c r="A27" i="2"/>
  <c r="A26" i="2"/>
  <c r="A25" i="2"/>
  <c r="E25" i="2" s="1"/>
  <c r="H24" i="2"/>
  <c r="I24" i="2" s="1"/>
  <c r="J24" i="2" s="1"/>
  <c r="K24" i="2" s="1"/>
  <c r="L24" i="2" s="1"/>
  <c r="E23" i="2"/>
  <c r="A14" i="2"/>
  <c r="A15" i="2"/>
  <c r="A16" i="2"/>
  <c r="A17" i="2"/>
  <c r="A13" i="2"/>
  <c r="A51" i="3"/>
  <c r="G51" i="3" s="1"/>
  <c r="A50" i="3"/>
  <c r="G50" i="3" s="1"/>
  <c r="A49" i="3"/>
  <c r="G49" i="3" s="1"/>
  <c r="A48" i="3"/>
  <c r="G48" i="3" s="1"/>
  <c r="A47" i="3"/>
  <c r="G47" i="3" s="1"/>
  <c r="A46" i="3"/>
  <c r="G46" i="3" s="1"/>
  <c r="A45" i="3"/>
  <c r="G45" i="3" s="1"/>
  <c r="A44" i="3"/>
  <c r="G44" i="3" s="1"/>
  <c r="A43" i="3"/>
  <c r="G43" i="3" s="1"/>
  <c r="A42" i="3"/>
  <c r="A36" i="3"/>
  <c r="G36" i="3" s="1"/>
  <c r="A35" i="3"/>
  <c r="G35" i="3" s="1"/>
  <c r="A34" i="3"/>
  <c r="G34" i="3" s="1"/>
  <c r="A33" i="3"/>
  <c r="G33" i="3" s="1"/>
  <c r="A32" i="3"/>
  <c r="G32" i="3" s="1"/>
  <c r="A31" i="3"/>
  <c r="G31" i="3" s="1"/>
  <c r="A30" i="3"/>
  <c r="G30" i="3" s="1"/>
  <c r="A29" i="3"/>
  <c r="G29" i="3" s="1"/>
  <c r="A28" i="3"/>
  <c r="G28" i="3" s="1"/>
  <c r="A27" i="3"/>
  <c r="I29" i="3" l="1"/>
  <c r="J29" i="3" s="1"/>
  <c r="K29" i="3" s="1"/>
  <c r="L29" i="3" s="1"/>
  <c r="M29" i="3" s="1"/>
  <c r="N29" i="3" s="1"/>
  <c r="O29" i="3" s="1"/>
  <c r="H29" i="3"/>
  <c r="G42" i="3"/>
  <c r="A52" i="3"/>
  <c r="A53" i="3"/>
  <c r="I28" i="3"/>
  <c r="J28" i="3" s="1"/>
  <c r="K28" i="3" s="1"/>
  <c r="L28" i="3" s="1"/>
  <c r="M28" i="3" s="1"/>
  <c r="N28" i="3" s="1"/>
  <c r="O28" i="3" s="1"/>
  <c r="H28" i="3"/>
  <c r="I43" i="3"/>
  <c r="J43" i="3" s="1"/>
  <c r="K43" i="3" s="1"/>
  <c r="L43" i="3" s="1"/>
  <c r="M43" i="3" s="1"/>
  <c r="N43" i="3" s="1"/>
  <c r="O43" i="3" s="1"/>
  <c r="H43" i="3"/>
  <c r="I50" i="3"/>
  <c r="J50" i="3" s="1"/>
  <c r="K50" i="3" s="1"/>
  <c r="L50" i="3" s="1"/>
  <c r="M50" i="3" s="1"/>
  <c r="N50" i="3" s="1"/>
  <c r="O50" i="3" s="1"/>
  <c r="H50" i="3"/>
  <c r="I44" i="3"/>
  <c r="J44" i="3" s="1"/>
  <c r="K44" i="3" s="1"/>
  <c r="L44" i="3" s="1"/>
  <c r="M44" i="3" s="1"/>
  <c r="N44" i="3" s="1"/>
  <c r="O44" i="3" s="1"/>
  <c r="H44" i="3"/>
  <c r="I36" i="3"/>
  <c r="J36" i="3" s="1"/>
  <c r="K36" i="3" s="1"/>
  <c r="L36" i="3" s="1"/>
  <c r="M36" i="3" s="1"/>
  <c r="N36" i="3" s="1"/>
  <c r="O36" i="3" s="1"/>
  <c r="H36" i="3"/>
  <c r="I51" i="3"/>
  <c r="J51" i="3" s="1"/>
  <c r="K51" i="3" s="1"/>
  <c r="L51" i="3" s="1"/>
  <c r="M51" i="3" s="1"/>
  <c r="N51" i="3" s="1"/>
  <c r="O51" i="3" s="1"/>
  <c r="H51" i="3"/>
  <c r="I31" i="3"/>
  <c r="J31" i="3" s="1"/>
  <c r="K31" i="3" s="1"/>
  <c r="L31" i="3" s="1"/>
  <c r="M31" i="3" s="1"/>
  <c r="N31" i="3" s="1"/>
  <c r="O31" i="3" s="1"/>
  <c r="H31" i="3"/>
  <c r="I32" i="3"/>
  <c r="J32" i="3" s="1"/>
  <c r="K32" i="3" s="1"/>
  <c r="L32" i="3" s="1"/>
  <c r="M32" i="3" s="1"/>
  <c r="N32" i="3" s="1"/>
  <c r="O32" i="3" s="1"/>
  <c r="H32" i="3"/>
  <c r="I45" i="3"/>
  <c r="J45" i="3" s="1"/>
  <c r="K45" i="3" s="1"/>
  <c r="L45" i="3" s="1"/>
  <c r="M45" i="3" s="1"/>
  <c r="N45" i="3" s="1"/>
  <c r="O45" i="3" s="1"/>
  <c r="H45" i="3"/>
  <c r="I46" i="3"/>
  <c r="J46" i="3" s="1"/>
  <c r="K46" i="3" s="1"/>
  <c r="L46" i="3" s="1"/>
  <c r="M46" i="3" s="1"/>
  <c r="N46" i="3" s="1"/>
  <c r="O46" i="3" s="1"/>
  <c r="H46" i="3"/>
  <c r="I49" i="3"/>
  <c r="J49" i="3" s="1"/>
  <c r="K49" i="3" s="1"/>
  <c r="L49" i="3" s="1"/>
  <c r="M49" i="3" s="1"/>
  <c r="N49" i="3" s="1"/>
  <c r="O49" i="3" s="1"/>
  <c r="H49" i="3"/>
  <c r="I33" i="3"/>
  <c r="J33" i="3" s="1"/>
  <c r="K33" i="3" s="1"/>
  <c r="L33" i="3" s="1"/>
  <c r="M33" i="3" s="1"/>
  <c r="N33" i="3" s="1"/>
  <c r="O33" i="3" s="1"/>
  <c r="H33" i="3"/>
  <c r="I47" i="3"/>
  <c r="J47" i="3" s="1"/>
  <c r="K47" i="3" s="1"/>
  <c r="L47" i="3" s="1"/>
  <c r="M47" i="3" s="1"/>
  <c r="N47" i="3" s="1"/>
  <c r="O47" i="3" s="1"/>
  <c r="H47" i="3"/>
  <c r="I30" i="3"/>
  <c r="J30" i="3" s="1"/>
  <c r="K30" i="3" s="1"/>
  <c r="L30" i="3" s="1"/>
  <c r="M30" i="3" s="1"/>
  <c r="N30" i="3" s="1"/>
  <c r="O30" i="3" s="1"/>
  <c r="H30" i="3"/>
  <c r="I34" i="3"/>
  <c r="J34" i="3" s="1"/>
  <c r="K34" i="3" s="1"/>
  <c r="L34" i="3" s="1"/>
  <c r="M34" i="3" s="1"/>
  <c r="N34" i="3" s="1"/>
  <c r="O34" i="3" s="1"/>
  <c r="H34" i="3"/>
  <c r="G27" i="3"/>
  <c r="I27" i="3" s="1"/>
  <c r="J27" i="3" s="1"/>
  <c r="K27" i="3" s="1"/>
  <c r="L27" i="3" s="1"/>
  <c r="M27" i="3" s="1"/>
  <c r="N27" i="3" s="1"/>
  <c r="O27" i="3" s="1"/>
  <c r="A38" i="3"/>
  <c r="A37" i="3"/>
  <c r="I35" i="3"/>
  <c r="J35" i="3" s="1"/>
  <c r="K35" i="3" s="1"/>
  <c r="L35" i="3" s="1"/>
  <c r="M35" i="3" s="1"/>
  <c r="N35" i="3" s="1"/>
  <c r="O35" i="3" s="1"/>
  <c r="H35" i="3"/>
  <c r="I48" i="3"/>
  <c r="J48" i="3" s="1"/>
  <c r="K48" i="3" s="1"/>
  <c r="L48" i="3" s="1"/>
  <c r="M48" i="3" s="1"/>
  <c r="N48" i="3" s="1"/>
  <c r="O48" i="3" s="1"/>
  <c r="H48" i="3"/>
  <c r="I42" i="3"/>
  <c r="J42" i="3" s="1"/>
  <c r="K42" i="3" s="1"/>
  <c r="L42" i="3" s="1"/>
  <c r="M42" i="3" s="1"/>
  <c r="N42" i="3" s="1"/>
  <c r="O42" i="3" s="1"/>
  <c r="H42" i="3"/>
  <c r="H27" i="3"/>
  <c r="F40" i="2"/>
  <c r="G40" i="2" s="1"/>
  <c r="V26" i="2"/>
  <c r="W26" i="2" s="1"/>
  <c r="X26" i="2" s="1"/>
  <c r="Y26" i="2" s="1"/>
  <c r="Z26" i="2" s="1"/>
  <c r="U26" i="2"/>
  <c r="S43" i="2"/>
  <c r="T43" i="2"/>
  <c r="V16" i="2"/>
  <c r="U16" i="2"/>
  <c r="F13" i="2"/>
  <c r="G13" i="2" s="1"/>
  <c r="E46" i="2"/>
  <c r="F46" i="2"/>
  <c r="S25" i="2"/>
  <c r="T25" i="2"/>
  <c r="S42" i="2"/>
  <c r="T42" i="2"/>
  <c r="F25" i="2"/>
  <c r="G25" i="2" s="1"/>
  <c r="F27" i="2"/>
  <c r="G27" i="2" s="1"/>
  <c r="S14" i="2"/>
  <c r="T14" i="2"/>
  <c r="H16" i="2"/>
  <c r="I16" i="2" s="1"/>
  <c r="J16" i="2" s="1"/>
  <c r="K16" i="2" s="1"/>
  <c r="L16" i="2" s="1"/>
  <c r="F16" i="2"/>
  <c r="G16" i="2" s="1"/>
  <c r="E32" i="2"/>
  <c r="F32" i="2"/>
  <c r="G32" i="2" s="1"/>
  <c r="E45" i="2"/>
  <c r="F45" i="2"/>
  <c r="G45" i="2" s="1"/>
  <c r="S32" i="2"/>
  <c r="T32" i="2"/>
  <c r="S24" i="2"/>
  <c r="T24" i="2"/>
  <c r="S41" i="2"/>
  <c r="T41" i="2"/>
  <c r="S30" i="2"/>
  <c r="S44" i="2"/>
  <c r="T44" i="2"/>
  <c r="F47" i="2"/>
  <c r="G47" i="2" s="1"/>
  <c r="H31" i="2"/>
  <c r="I31" i="2" s="1"/>
  <c r="J31" i="2" s="1"/>
  <c r="K31" i="2" s="1"/>
  <c r="L31" i="2" s="1"/>
  <c r="F31" i="2"/>
  <c r="G31" i="2" s="1"/>
  <c r="H44" i="2"/>
  <c r="I44" i="2" s="1"/>
  <c r="J44" i="2" s="1"/>
  <c r="K44" i="2" s="1"/>
  <c r="L44" i="2" s="1"/>
  <c r="F44" i="2"/>
  <c r="G44" i="2" s="1"/>
  <c r="S31" i="2"/>
  <c r="T31" i="2"/>
  <c r="S38" i="2"/>
  <c r="T38" i="2"/>
  <c r="S40" i="2"/>
  <c r="T40" i="2"/>
  <c r="H30" i="2"/>
  <c r="I30" i="2" s="1"/>
  <c r="J30" i="2" s="1"/>
  <c r="K30" i="2" s="1"/>
  <c r="L30" i="2" s="1"/>
  <c r="F30" i="2"/>
  <c r="G30" i="2" s="1"/>
  <c r="H43" i="2"/>
  <c r="I43" i="2" s="1"/>
  <c r="J43" i="2" s="1"/>
  <c r="K43" i="2" s="1"/>
  <c r="L43" i="2" s="1"/>
  <c r="F43" i="2"/>
  <c r="G43" i="2" s="1"/>
  <c r="E40" i="2"/>
  <c r="V30" i="2"/>
  <c r="W30" i="2" s="1"/>
  <c r="X30" i="2" s="1"/>
  <c r="Y30" i="2" s="1"/>
  <c r="Z30" i="2" s="1"/>
  <c r="AA30" i="2" s="1"/>
  <c r="AB30" i="2" s="1"/>
  <c r="U30" i="2"/>
  <c r="S47" i="2"/>
  <c r="T47" i="2"/>
  <c r="S39" i="2"/>
  <c r="T39" i="2"/>
  <c r="S26" i="2"/>
  <c r="S27" i="2"/>
  <c r="T27" i="2"/>
  <c r="H26" i="2"/>
  <c r="I26" i="2" s="1"/>
  <c r="J26" i="2" s="1"/>
  <c r="K26" i="2" s="1"/>
  <c r="L26" i="2" s="1"/>
  <c r="F26" i="2"/>
  <c r="G26" i="2" s="1"/>
  <c r="H17" i="2"/>
  <c r="I17" i="2" s="1"/>
  <c r="J17" i="2" s="1"/>
  <c r="K17" i="2" s="1"/>
  <c r="L17" i="2" s="1"/>
  <c r="F17" i="2"/>
  <c r="G17" i="2" s="1"/>
  <c r="E14" i="2"/>
  <c r="F14" i="2"/>
  <c r="G14" i="2" s="1"/>
  <c r="E29" i="2"/>
  <c r="F29" i="2"/>
  <c r="G29" i="2" s="1"/>
  <c r="H42" i="2"/>
  <c r="I42" i="2" s="1"/>
  <c r="J42" i="2" s="1"/>
  <c r="K42" i="2" s="1"/>
  <c r="L42" i="2" s="1"/>
  <c r="F42" i="2"/>
  <c r="G42" i="2" s="1"/>
  <c r="V13" i="2"/>
  <c r="T13" i="2"/>
  <c r="U13" i="2" s="1"/>
  <c r="V29" i="2"/>
  <c r="W29" i="2" s="1"/>
  <c r="X29" i="2" s="1"/>
  <c r="Y29" i="2" s="1"/>
  <c r="Z29" i="2" s="1"/>
  <c r="AA29" i="2" s="1"/>
  <c r="AB29" i="2" s="1"/>
  <c r="U29" i="2"/>
  <c r="U46" i="2"/>
  <c r="V46" i="2"/>
  <c r="W46" i="2" s="1"/>
  <c r="X46" i="2" s="1"/>
  <c r="Y46" i="2" s="1"/>
  <c r="Z46" i="2" s="1"/>
  <c r="AA46" i="2" s="1"/>
  <c r="AB46" i="2" s="1"/>
  <c r="S16" i="2"/>
  <c r="S46" i="2"/>
  <c r="V15" i="2"/>
  <c r="U15" i="2"/>
  <c r="E15" i="2"/>
  <c r="F15" i="2"/>
  <c r="G15" i="2" s="1"/>
  <c r="F28" i="2"/>
  <c r="G28" i="2" s="1"/>
  <c r="H41" i="2"/>
  <c r="I41" i="2" s="1"/>
  <c r="J41" i="2" s="1"/>
  <c r="K41" i="2" s="1"/>
  <c r="L41" i="2" s="1"/>
  <c r="F41" i="2"/>
  <c r="G41" i="2" s="1"/>
  <c r="S17" i="2"/>
  <c r="T17" i="2"/>
  <c r="S28" i="2"/>
  <c r="T28" i="2"/>
  <c r="V45" i="2"/>
  <c r="W45" i="2" s="1"/>
  <c r="X45" i="2" s="1"/>
  <c r="Y45" i="2" s="1"/>
  <c r="Z45" i="2" s="1"/>
  <c r="U45" i="2"/>
  <c r="S15" i="2"/>
  <c r="S45" i="2"/>
  <c r="AA23" i="2"/>
  <c r="AB23" i="2" s="1"/>
  <c r="M41" i="2"/>
  <c r="N41" i="2" s="1"/>
  <c r="E13" i="2"/>
  <c r="S13" i="2"/>
  <c r="M17" i="2"/>
  <c r="N17" i="2" s="1"/>
  <c r="E31" i="2"/>
  <c r="M31" i="2" s="1"/>
  <c r="N31" i="2" s="1"/>
  <c r="E24" i="2"/>
  <c r="M24" i="2" s="1"/>
  <c r="N24" i="2" s="1"/>
  <c r="H38" i="2"/>
  <c r="I38" i="2" s="1"/>
  <c r="J38" i="2" s="1"/>
  <c r="K38" i="2" s="1"/>
  <c r="L38" i="2" s="1"/>
  <c r="M38" i="2" s="1"/>
  <c r="N38" i="2" s="1"/>
  <c r="E44" i="2"/>
  <c r="M44" i="2" s="1"/>
  <c r="N44" i="2" s="1"/>
  <c r="E28" i="2"/>
  <c r="E27" i="2"/>
  <c r="E39" i="2"/>
  <c r="M39" i="2" s="1"/>
  <c r="N39" i="2" s="1"/>
  <c r="H14" i="2"/>
  <c r="I14" i="2" s="1"/>
  <c r="J14" i="2" s="1"/>
  <c r="K14" i="2" s="1"/>
  <c r="L14" i="2" s="1"/>
  <c r="M14" i="2" s="1"/>
  <c r="N14" i="2" s="1"/>
  <c r="E47" i="2"/>
  <c r="H23" i="2"/>
  <c r="I23" i="2" s="1"/>
  <c r="J23" i="2" s="1"/>
  <c r="K23" i="2" s="1"/>
  <c r="L23" i="2" s="1"/>
  <c r="M23" i="2" s="1"/>
  <c r="N23" i="2" s="1"/>
  <c r="E30" i="2"/>
  <c r="M30" i="2" s="1"/>
  <c r="N30" i="2" s="1"/>
  <c r="E26" i="2"/>
  <c r="E42" i="2"/>
  <c r="M42" i="2" s="1"/>
  <c r="N42" i="2" s="1"/>
  <c r="E43" i="2"/>
  <c r="M43" i="2" s="1"/>
  <c r="N43" i="2" s="1"/>
  <c r="H45" i="2"/>
  <c r="I45" i="2" s="1"/>
  <c r="J45" i="2" s="1"/>
  <c r="K45" i="2" s="1"/>
  <c r="L45" i="2" s="1"/>
  <c r="M45" i="2" s="1"/>
  <c r="N45" i="2" s="1"/>
  <c r="H32" i="2"/>
  <c r="I32" i="2" s="1"/>
  <c r="J32" i="2" s="1"/>
  <c r="K32" i="2" s="1"/>
  <c r="L32" i="2" s="1"/>
  <c r="M32" i="2" s="1"/>
  <c r="N32" i="2" s="1"/>
  <c r="H15" i="2"/>
  <c r="I15" i="2" s="1"/>
  <c r="J15" i="2" s="1"/>
  <c r="K15" i="2" s="1"/>
  <c r="L15" i="2" s="1"/>
  <c r="M15" i="2" s="1"/>
  <c r="N15" i="2" s="1"/>
  <c r="E16" i="2"/>
  <c r="M16" i="2" s="1"/>
  <c r="N16" i="2" s="1"/>
  <c r="E17" i="2"/>
  <c r="AA45" i="2" l="1"/>
  <c r="AB45" i="2" s="1"/>
  <c r="O53" i="3"/>
  <c r="O52" i="3"/>
  <c r="H37" i="3"/>
  <c r="AY44" i="3" s="1"/>
  <c r="H38" i="3"/>
  <c r="AZ44" i="3" s="1"/>
  <c r="O37" i="3"/>
  <c r="O38" i="3"/>
  <c r="H53" i="3"/>
  <c r="AZ50" i="3" s="1"/>
  <c r="H52" i="3"/>
  <c r="AY50" i="3" s="1"/>
  <c r="U24" i="2"/>
  <c r="V24" i="2"/>
  <c r="W24" i="2" s="1"/>
  <c r="X24" i="2" s="1"/>
  <c r="Y24" i="2" s="1"/>
  <c r="Z24" i="2" s="1"/>
  <c r="AA24" i="2" s="1"/>
  <c r="AB24" i="2" s="1"/>
  <c r="U42" i="2"/>
  <c r="V42" i="2"/>
  <c r="W42" i="2" s="1"/>
  <c r="X42" i="2" s="1"/>
  <c r="Y42" i="2" s="1"/>
  <c r="Z42" i="2" s="1"/>
  <c r="AA42" i="2" s="1"/>
  <c r="AB42" i="2" s="1"/>
  <c r="V27" i="2"/>
  <c r="W27" i="2" s="1"/>
  <c r="X27" i="2" s="1"/>
  <c r="Y27" i="2" s="1"/>
  <c r="Z27" i="2" s="1"/>
  <c r="AA27" i="2" s="1"/>
  <c r="AB27" i="2" s="1"/>
  <c r="U27" i="2"/>
  <c r="W16" i="2"/>
  <c r="X16" i="2" s="1"/>
  <c r="Y16" i="2" s="1"/>
  <c r="Z16" i="2" s="1"/>
  <c r="AA16" i="2" s="1"/>
  <c r="AB16" i="2" s="1"/>
  <c r="T7" i="2"/>
  <c r="H28" i="2"/>
  <c r="I28" i="2" s="1"/>
  <c r="J28" i="2" s="1"/>
  <c r="K28" i="2" s="1"/>
  <c r="L28" i="2" s="1"/>
  <c r="H47" i="2"/>
  <c r="I47" i="2" s="1"/>
  <c r="J47" i="2" s="1"/>
  <c r="K47" i="2" s="1"/>
  <c r="L47" i="2" s="1"/>
  <c r="M47" i="2" s="1"/>
  <c r="N47" i="2" s="1"/>
  <c r="V32" i="2"/>
  <c r="W32" i="2" s="1"/>
  <c r="X32" i="2" s="1"/>
  <c r="Y32" i="2" s="1"/>
  <c r="Z32" i="2" s="1"/>
  <c r="AA32" i="2" s="1"/>
  <c r="AB32" i="2" s="1"/>
  <c r="U32" i="2"/>
  <c r="V14" i="2"/>
  <c r="U14" i="2"/>
  <c r="U18" i="2" s="1"/>
  <c r="U19" i="2" s="1"/>
  <c r="V25" i="2"/>
  <c r="W25" i="2" s="1"/>
  <c r="X25" i="2" s="1"/>
  <c r="Y25" i="2" s="1"/>
  <c r="Z25" i="2" s="1"/>
  <c r="AA25" i="2" s="1"/>
  <c r="AB25" i="2" s="1"/>
  <c r="AB34" i="2" s="1"/>
  <c r="U25" i="2"/>
  <c r="U43" i="2"/>
  <c r="V43" i="2"/>
  <c r="W43" i="2" s="1"/>
  <c r="X43" i="2" s="1"/>
  <c r="Y43" i="2" s="1"/>
  <c r="Z43" i="2" s="1"/>
  <c r="AA43" i="2" s="1"/>
  <c r="AB43" i="2" s="1"/>
  <c r="U28" i="2"/>
  <c r="V28" i="2"/>
  <c r="W28" i="2" s="1"/>
  <c r="X28" i="2" s="1"/>
  <c r="Y28" i="2" s="1"/>
  <c r="Z28" i="2" s="1"/>
  <c r="AA28" i="2" s="1"/>
  <c r="AB28" i="2" s="1"/>
  <c r="V31" i="2"/>
  <c r="W31" i="2" s="1"/>
  <c r="X31" i="2" s="1"/>
  <c r="Y31" i="2" s="1"/>
  <c r="Z31" i="2" s="1"/>
  <c r="AA31" i="2" s="1"/>
  <c r="AB31" i="2" s="1"/>
  <c r="U31" i="2"/>
  <c r="U44" i="2"/>
  <c r="V44" i="2"/>
  <c r="W44" i="2" s="1"/>
  <c r="X44" i="2" s="1"/>
  <c r="Y44" i="2" s="1"/>
  <c r="Z44" i="2" s="1"/>
  <c r="AA44" i="2" s="1"/>
  <c r="AB44" i="2" s="1"/>
  <c r="V39" i="2"/>
  <c r="W39" i="2" s="1"/>
  <c r="X39" i="2" s="1"/>
  <c r="Y39" i="2" s="1"/>
  <c r="Z39" i="2" s="1"/>
  <c r="AA39" i="2" s="1"/>
  <c r="AB39" i="2" s="1"/>
  <c r="U39" i="2"/>
  <c r="G46" i="2"/>
  <c r="H46" i="2"/>
  <c r="I46" i="2" s="1"/>
  <c r="J46" i="2" s="1"/>
  <c r="K46" i="2" s="1"/>
  <c r="L46" i="2" s="1"/>
  <c r="M46" i="2" s="1"/>
  <c r="N46" i="2" s="1"/>
  <c r="V17" i="2"/>
  <c r="U17" i="2"/>
  <c r="H27" i="2"/>
  <c r="I27" i="2" s="1"/>
  <c r="J27" i="2" s="1"/>
  <c r="K27" i="2" s="1"/>
  <c r="L27" i="2" s="1"/>
  <c r="M27" i="2" s="1"/>
  <c r="N27" i="2" s="1"/>
  <c r="AA26" i="2"/>
  <c r="AB26" i="2" s="1"/>
  <c r="U38" i="2"/>
  <c r="V38" i="2"/>
  <c r="W38" i="2" s="1"/>
  <c r="X38" i="2" s="1"/>
  <c r="Y38" i="2" s="1"/>
  <c r="Z38" i="2" s="1"/>
  <c r="AA38" i="2" s="1"/>
  <c r="AB38" i="2" s="1"/>
  <c r="H29" i="2"/>
  <c r="I29" i="2" s="1"/>
  <c r="J29" i="2" s="1"/>
  <c r="K29" i="2" s="1"/>
  <c r="L29" i="2" s="1"/>
  <c r="M29" i="2" s="1"/>
  <c r="N29" i="2" s="1"/>
  <c r="W13" i="2"/>
  <c r="X13" i="2" s="1"/>
  <c r="Y13" i="2" s="1"/>
  <c r="Z13" i="2" s="1"/>
  <c r="AA13" i="2" s="1"/>
  <c r="AB13" i="2" s="1"/>
  <c r="T4" i="2"/>
  <c r="V47" i="2"/>
  <c r="W47" i="2" s="1"/>
  <c r="X47" i="2" s="1"/>
  <c r="Y47" i="2" s="1"/>
  <c r="Z47" i="2" s="1"/>
  <c r="AA47" i="2" s="1"/>
  <c r="AB47" i="2" s="1"/>
  <c r="U47" i="2"/>
  <c r="U41" i="2"/>
  <c r="V41" i="2"/>
  <c r="W41" i="2" s="1"/>
  <c r="X41" i="2" s="1"/>
  <c r="Y41" i="2" s="1"/>
  <c r="Z41" i="2" s="1"/>
  <c r="AA41" i="2" s="1"/>
  <c r="AB41" i="2" s="1"/>
  <c r="G33" i="2"/>
  <c r="G18" i="2"/>
  <c r="G19" i="2" s="1"/>
  <c r="M28" i="2"/>
  <c r="N28" i="2" s="1"/>
  <c r="W15" i="2"/>
  <c r="X15" i="2" s="1"/>
  <c r="Y15" i="2" s="1"/>
  <c r="Z15" i="2" s="1"/>
  <c r="AA15" i="2" s="1"/>
  <c r="AB15" i="2" s="1"/>
  <c r="T6" i="2"/>
  <c r="M26" i="2"/>
  <c r="N26" i="2" s="1"/>
  <c r="N33" i="2" s="1"/>
  <c r="V40" i="2"/>
  <c r="W40" i="2" s="1"/>
  <c r="X40" i="2" s="1"/>
  <c r="Y40" i="2" s="1"/>
  <c r="Z40" i="2" s="1"/>
  <c r="AA40" i="2" s="1"/>
  <c r="AB40" i="2" s="1"/>
  <c r="U40" i="2"/>
  <c r="H25" i="2"/>
  <c r="I25" i="2" s="1"/>
  <c r="J25" i="2" s="1"/>
  <c r="K25" i="2" s="1"/>
  <c r="L25" i="2" s="1"/>
  <c r="M25" i="2" s="1"/>
  <c r="N25" i="2" s="1"/>
  <c r="N34" i="2" s="1"/>
  <c r="H13" i="2"/>
  <c r="I13" i="2" s="1"/>
  <c r="J13" i="2" s="1"/>
  <c r="K13" i="2" s="1"/>
  <c r="L13" i="2" s="1"/>
  <c r="M13" i="2" s="1"/>
  <c r="N13" i="2" s="1"/>
  <c r="H40" i="2"/>
  <c r="I40" i="2" s="1"/>
  <c r="J40" i="2" s="1"/>
  <c r="K40" i="2" s="1"/>
  <c r="L40" i="2" s="1"/>
  <c r="M40" i="2" s="1"/>
  <c r="N40" i="2" s="1"/>
  <c r="N48" i="2" s="1"/>
  <c r="I84" i="4"/>
  <c r="I80" i="4"/>
  <c r="J80" i="4" s="1"/>
  <c r="E84" i="4"/>
  <c r="E85" i="4" s="1"/>
  <c r="E82" i="4"/>
  <c r="E83" i="4" s="1"/>
  <c r="E77" i="4"/>
  <c r="E67" i="4"/>
  <c r="A67" i="4" s="1"/>
  <c r="AB63" i="4"/>
  <c r="AC63" i="4" s="1"/>
  <c r="Q63" i="4"/>
  <c r="S63" i="4" s="1"/>
  <c r="P63" i="4"/>
  <c r="O63" i="4"/>
  <c r="L63" i="4"/>
  <c r="M63" i="4" s="1"/>
  <c r="G63" i="4"/>
  <c r="J63" i="4" s="1"/>
  <c r="AB62" i="4"/>
  <c r="AC62" i="4" s="1"/>
  <c r="Q62" i="4"/>
  <c r="S62" i="4" s="1"/>
  <c r="P62" i="4"/>
  <c r="O62" i="4"/>
  <c r="L62" i="4"/>
  <c r="M62" i="4" s="1"/>
  <c r="G62" i="4"/>
  <c r="J62" i="4" s="1"/>
  <c r="AB61" i="4"/>
  <c r="AC61" i="4" s="1"/>
  <c r="Q61" i="4"/>
  <c r="S61" i="4" s="1"/>
  <c r="P61" i="4"/>
  <c r="O61" i="4"/>
  <c r="L61" i="4"/>
  <c r="M61" i="4" s="1"/>
  <c r="G61" i="4"/>
  <c r="J61" i="4" s="1"/>
  <c r="R61" i="4" s="1"/>
  <c r="AB60" i="4"/>
  <c r="AC60" i="4" s="1"/>
  <c r="Q60" i="4"/>
  <c r="S60" i="4" s="1"/>
  <c r="P60" i="4"/>
  <c r="O60" i="4"/>
  <c r="L60" i="4"/>
  <c r="M60" i="4" s="1"/>
  <c r="G60" i="4"/>
  <c r="J60" i="4" s="1"/>
  <c r="AB59" i="4"/>
  <c r="AC59" i="4" s="1"/>
  <c r="Q59" i="4"/>
  <c r="S59" i="4" s="1"/>
  <c r="P59" i="4"/>
  <c r="O59" i="4"/>
  <c r="L59" i="4"/>
  <c r="M59" i="4" s="1"/>
  <c r="G59" i="4"/>
  <c r="J59" i="4" s="1"/>
  <c r="AB55" i="4"/>
  <c r="AC55" i="4" s="1"/>
  <c r="Q55" i="4"/>
  <c r="S55" i="4" s="1"/>
  <c r="P55" i="4"/>
  <c r="O55" i="4"/>
  <c r="L55" i="4"/>
  <c r="M55" i="4" s="1"/>
  <c r="G55" i="4"/>
  <c r="J55" i="4" s="1"/>
  <c r="AB54" i="4"/>
  <c r="AC54" i="4" s="1"/>
  <c r="Q54" i="4"/>
  <c r="S54" i="4" s="1"/>
  <c r="P54" i="4"/>
  <c r="O54" i="4"/>
  <c r="L54" i="4"/>
  <c r="M54" i="4" s="1"/>
  <c r="G54" i="4"/>
  <c r="J54" i="4" s="1"/>
  <c r="R54" i="4" s="1"/>
  <c r="AB53" i="4"/>
  <c r="AC53" i="4" s="1"/>
  <c r="Q53" i="4"/>
  <c r="S53" i="4" s="1"/>
  <c r="P53" i="4"/>
  <c r="O53" i="4"/>
  <c r="L53" i="4"/>
  <c r="M53" i="4" s="1"/>
  <c r="G53" i="4"/>
  <c r="J53" i="4" s="1"/>
  <c r="AB52" i="4"/>
  <c r="AC52" i="4" s="1"/>
  <c r="Q52" i="4"/>
  <c r="S52" i="4" s="1"/>
  <c r="P52" i="4"/>
  <c r="O52" i="4"/>
  <c r="L52" i="4"/>
  <c r="M52" i="4" s="1"/>
  <c r="G52" i="4"/>
  <c r="J52" i="4" s="1"/>
  <c r="AB51" i="4"/>
  <c r="AC51" i="4" s="1"/>
  <c r="Q51" i="4"/>
  <c r="S51" i="4" s="1"/>
  <c r="P51" i="4"/>
  <c r="O51" i="4"/>
  <c r="L51" i="4"/>
  <c r="M51" i="4" s="1"/>
  <c r="G51" i="4"/>
  <c r="J51" i="4" s="1"/>
  <c r="AB39" i="4"/>
  <c r="AC39" i="4" s="1"/>
  <c r="Q39" i="4"/>
  <c r="S39" i="4" s="1"/>
  <c r="P39" i="4"/>
  <c r="O39" i="4"/>
  <c r="L39" i="4"/>
  <c r="M39" i="4" s="1"/>
  <c r="G39" i="4"/>
  <c r="J39" i="4" s="1"/>
  <c r="R39" i="4" s="1"/>
  <c r="AB38" i="4"/>
  <c r="AC38" i="4" s="1"/>
  <c r="Q38" i="4"/>
  <c r="S38" i="4" s="1"/>
  <c r="P38" i="4"/>
  <c r="O38" i="4"/>
  <c r="L38" i="4"/>
  <c r="M38" i="4" s="1"/>
  <c r="G38" i="4"/>
  <c r="J38" i="4" s="1"/>
  <c r="AB37" i="4"/>
  <c r="AC37" i="4" s="1"/>
  <c r="Q37" i="4"/>
  <c r="S37" i="4" s="1"/>
  <c r="P37" i="4"/>
  <c r="O37" i="4"/>
  <c r="L37" i="4"/>
  <c r="M37" i="4" s="1"/>
  <c r="G37" i="4"/>
  <c r="J37" i="4" s="1"/>
  <c r="AB36" i="4"/>
  <c r="AC36" i="4" s="1"/>
  <c r="Q36" i="4"/>
  <c r="S36" i="4" s="1"/>
  <c r="P36" i="4"/>
  <c r="O36" i="4"/>
  <c r="L36" i="4"/>
  <c r="M36" i="4" s="1"/>
  <c r="G36" i="4"/>
  <c r="J36" i="4" s="1"/>
  <c r="R36" i="4" s="1"/>
  <c r="AB35" i="4"/>
  <c r="AC35" i="4" s="1"/>
  <c r="Q35" i="4"/>
  <c r="S35" i="4" s="1"/>
  <c r="P35" i="4"/>
  <c r="O35" i="4"/>
  <c r="L35" i="4"/>
  <c r="M35" i="4" s="1"/>
  <c r="G35" i="4"/>
  <c r="J35" i="4" s="1"/>
  <c r="AB31" i="4"/>
  <c r="AC31" i="4" s="1"/>
  <c r="Q31" i="4"/>
  <c r="S31" i="4" s="1"/>
  <c r="P31" i="4"/>
  <c r="O31" i="4"/>
  <c r="L31" i="4"/>
  <c r="M31" i="4" s="1"/>
  <c r="G31" i="4"/>
  <c r="J31" i="4" s="1"/>
  <c r="R31" i="4" s="1"/>
  <c r="AB30" i="4"/>
  <c r="AC30" i="4" s="1"/>
  <c r="Q30" i="4"/>
  <c r="S30" i="4" s="1"/>
  <c r="P30" i="4"/>
  <c r="O30" i="4"/>
  <c r="L30" i="4"/>
  <c r="M30" i="4" s="1"/>
  <c r="G30" i="4"/>
  <c r="J30" i="4" s="1"/>
  <c r="AB29" i="4"/>
  <c r="AC29" i="4" s="1"/>
  <c r="Q29" i="4"/>
  <c r="S29" i="4" s="1"/>
  <c r="P29" i="4"/>
  <c r="O29" i="4"/>
  <c r="L29" i="4"/>
  <c r="M29" i="4" s="1"/>
  <c r="G29" i="4"/>
  <c r="J29" i="4" s="1"/>
  <c r="R29" i="4" s="1"/>
  <c r="AB28" i="4"/>
  <c r="AC28" i="4" s="1"/>
  <c r="Q28" i="4"/>
  <c r="S28" i="4" s="1"/>
  <c r="P28" i="4"/>
  <c r="O28" i="4"/>
  <c r="L28" i="4"/>
  <c r="M28" i="4" s="1"/>
  <c r="G28" i="4"/>
  <c r="J28" i="4" s="1"/>
  <c r="H28" i="4" s="1"/>
  <c r="I28" i="4" s="1"/>
  <c r="AB27" i="4"/>
  <c r="AC27" i="4" s="1"/>
  <c r="Q27" i="4"/>
  <c r="S27" i="4" s="1"/>
  <c r="P27" i="4"/>
  <c r="O27" i="4"/>
  <c r="L27" i="4"/>
  <c r="M27" i="4" s="1"/>
  <c r="G27" i="4"/>
  <c r="J27" i="4" s="1"/>
  <c r="AB23" i="4"/>
  <c r="AC23" i="4" s="1"/>
  <c r="Q23" i="4"/>
  <c r="S23" i="4" s="1"/>
  <c r="P23" i="4"/>
  <c r="O23" i="4"/>
  <c r="L23" i="4"/>
  <c r="M23" i="4" s="1"/>
  <c r="G23" i="4"/>
  <c r="J23" i="4" s="1"/>
  <c r="AB22" i="4"/>
  <c r="AC22" i="4" s="1"/>
  <c r="Q22" i="4"/>
  <c r="S22" i="4" s="1"/>
  <c r="P22" i="4"/>
  <c r="O22" i="4"/>
  <c r="L22" i="4"/>
  <c r="M22" i="4" s="1"/>
  <c r="G22" i="4"/>
  <c r="J22" i="4" s="1"/>
  <c r="AB21" i="4"/>
  <c r="AC21" i="4" s="1"/>
  <c r="Q21" i="4"/>
  <c r="S21" i="4" s="1"/>
  <c r="P21" i="4"/>
  <c r="O21" i="4"/>
  <c r="L21" i="4"/>
  <c r="M21" i="4" s="1"/>
  <c r="G21" i="4"/>
  <c r="J21" i="4" s="1"/>
  <c r="R21" i="4" s="1"/>
  <c r="AB20" i="4"/>
  <c r="AC20" i="4" s="1"/>
  <c r="Q20" i="4"/>
  <c r="S20" i="4" s="1"/>
  <c r="P20" i="4"/>
  <c r="O20" i="4"/>
  <c r="L20" i="4"/>
  <c r="M20" i="4" s="1"/>
  <c r="G20" i="4"/>
  <c r="J20" i="4" s="1"/>
  <c r="AB19" i="4"/>
  <c r="AC19" i="4" s="1"/>
  <c r="Q19" i="4"/>
  <c r="S19" i="4" s="1"/>
  <c r="P19" i="4"/>
  <c r="O19" i="4"/>
  <c r="L19" i="4"/>
  <c r="M19" i="4" s="1"/>
  <c r="G19" i="4"/>
  <c r="J19" i="4" s="1"/>
  <c r="AB15" i="4"/>
  <c r="AC15" i="4" s="1"/>
  <c r="Q15" i="4"/>
  <c r="S15" i="4" s="1"/>
  <c r="P15" i="4"/>
  <c r="O15" i="4"/>
  <c r="L15" i="4"/>
  <c r="M15" i="4" s="1"/>
  <c r="G15" i="4"/>
  <c r="J15" i="4" s="1"/>
  <c r="AB14" i="4"/>
  <c r="AC14" i="4" s="1"/>
  <c r="Q14" i="4"/>
  <c r="S14" i="4" s="1"/>
  <c r="P14" i="4"/>
  <c r="O14" i="4"/>
  <c r="L14" i="4"/>
  <c r="M14" i="4" s="1"/>
  <c r="G14" i="4"/>
  <c r="J14" i="4" s="1"/>
  <c r="R14" i="4" s="1"/>
  <c r="AB13" i="4"/>
  <c r="AC13" i="4" s="1"/>
  <c r="Q13" i="4"/>
  <c r="S13" i="4" s="1"/>
  <c r="P13" i="4"/>
  <c r="O13" i="4"/>
  <c r="L13" i="4"/>
  <c r="M13" i="4" s="1"/>
  <c r="G13" i="4"/>
  <c r="J13" i="4" s="1"/>
  <c r="AB12" i="4"/>
  <c r="AC12" i="4" s="1"/>
  <c r="Q12" i="4"/>
  <c r="S12" i="4" s="1"/>
  <c r="P12" i="4"/>
  <c r="O12" i="4"/>
  <c r="L12" i="4"/>
  <c r="M12" i="4" s="1"/>
  <c r="G12" i="4"/>
  <c r="J12" i="4" s="1"/>
  <c r="AB11" i="4"/>
  <c r="AC11" i="4" s="1"/>
  <c r="Q11" i="4"/>
  <c r="S11" i="4" s="1"/>
  <c r="P11" i="4"/>
  <c r="O11" i="4"/>
  <c r="L11" i="4"/>
  <c r="M11" i="4" s="1"/>
  <c r="G11" i="4"/>
  <c r="J11" i="4" s="1"/>
  <c r="AB7" i="4"/>
  <c r="AC7" i="4" s="1"/>
  <c r="Q7" i="4"/>
  <c r="S7" i="4" s="1"/>
  <c r="P7" i="4"/>
  <c r="O7" i="4"/>
  <c r="L7" i="4"/>
  <c r="M7" i="4" s="1"/>
  <c r="G7" i="4"/>
  <c r="J7" i="4" s="1"/>
  <c r="AB6" i="4"/>
  <c r="AC6" i="4" s="1"/>
  <c r="Q6" i="4"/>
  <c r="S6" i="4" s="1"/>
  <c r="P6" i="4"/>
  <c r="O6" i="4"/>
  <c r="L6" i="4"/>
  <c r="M6" i="4" s="1"/>
  <c r="G6" i="4"/>
  <c r="J6" i="4" s="1"/>
  <c r="R6" i="4" s="1"/>
  <c r="AB5" i="4"/>
  <c r="AC5" i="4" s="1"/>
  <c r="Q5" i="4"/>
  <c r="S5" i="4" s="1"/>
  <c r="P5" i="4"/>
  <c r="O5" i="4"/>
  <c r="L5" i="4"/>
  <c r="M5" i="4" s="1"/>
  <c r="G5" i="4"/>
  <c r="J5" i="4" s="1"/>
  <c r="AB4" i="4"/>
  <c r="AC4" i="4" s="1"/>
  <c r="Q4" i="4"/>
  <c r="S4" i="4" s="1"/>
  <c r="P4" i="4"/>
  <c r="O4" i="4"/>
  <c r="L4" i="4"/>
  <c r="M4" i="4" s="1"/>
  <c r="G4" i="4"/>
  <c r="J4" i="4" s="1"/>
  <c r="R4" i="4" s="1"/>
  <c r="AB3" i="4"/>
  <c r="AC3" i="4" s="1"/>
  <c r="Q3" i="4"/>
  <c r="S3" i="4" s="1"/>
  <c r="P3" i="4"/>
  <c r="O3" i="4"/>
  <c r="L3" i="4"/>
  <c r="M3" i="4" s="1"/>
  <c r="G3" i="4"/>
  <c r="AX26" i="3"/>
  <c r="BE17" i="3"/>
  <c r="AG17" i="3"/>
  <c r="R17" i="3"/>
  <c r="C17" i="3"/>
  <c r="BE16" i="3"/>
  <c r="AY16" i="3"/>
  <c r="BC15" i="3" s="1"/>
  <c r="AI16" i="3"/>
  <c r="BE15" i="3"/>
  <c r="BE14" i="3"/>
  <c r="BC14" i="3"/>
  <c r="BE13" i="3"/>
  <c r="AY13" i="3"/>
  <c r="AY14" i="3" s="1"/>
  <c r="AY15" i="3" s="1"/>
  <c r="BE12" i="3"/>
  <c r="BC12" i="3"/>
  <c r="BE11" i="3"/>
  <c r="BC11" i="3"/>
  <c r="BE10" i="3"/>
  <c r="BC10" i="3"/>
  <c r="BE9" i="3"/>
  <c r="BC9" i="3"/>
  <c r="BB2" i="3"/>
  <c r="AX2" i="3" s="1"/>
  <c r="AR26" i="2"/>
  <c r="AY17" i="2"/>
  <c r="AY16" i="2"/>
  <c r="AS16" i="2"/>
  <c r="AW16" i="2" s="1"/>
  <c r="AY15" i="2"/>
  <c r="AY14" i="2"/>
  <c r="AY13" i="2"/>
  <c r="AS13" i="2"/>
  <c r="AS14" i="2" s="1"/>
  <c r="AS15" i="2" s="1"/>
  <c r="AY12" i="2"/>
  <c r="AY11" i="2"/>
  <c r="AY10" i="2"/>
  <c r="AW10" i="2"/>
  <c r="AY9" i="2"/>
  <c r="AV2" i="2"/>
  <c r="AR2" i="2" s="1"/>
  <c r="AB33" i="2" l="1"/>
  <c r="N49" i="2"/>
  <c r="AB49" i="2"/>
  <c r="AB48" i="2"/>
  <c r="BC16" i="3"/>
  <c r="N18" i="2"/>
  <c r="N19" i="2" s="1"/>
  <c r="W17" i="2"/>
  <c r="X17" i="2" s="1"/>
  <c r="Y17" i="2" s="1"/>
  <c r="Z17" i="2" s="1"/>
  <c r="AA17" i="2" s="1"/>
  <c r="AB17" i="2" s="1"/>
  <c r="T8" i="2"/>
  <c r="W14" i="2"/>
  <c r="X14" i="2" s="1"/>
  <c r="Y14" i="2" s="1"/>
  <c r="Z14" i="2" s="1"/>
  <c r="AA14" i="2" s="1"/>
  <c r="AB14" i="2" s="1"/>
  <c r="T5" i="2"/>
  <c r="AY17" i="3"/>
  <c r="AY18" i="3" s="1"/>
  <c r="AY20" i="3" s="1"/>
  <c r="BD15" i="3"/>
  <c r="E89" i="4"/>
  <c r="I79" i="4" s="1"/>
  <c r="J79" i="4" s="1"/>
  <c r="E88" i="4"/>
  <c r="I78" i="4" s="1"/>
  <c r="J78" i="4" s="1"/>
  <c r="E87" i="4"/>
  <c r="K78" i="4"/>
  <c r="K77" i="4"/>
  <c r="K84" i="4"/>
  <c r="K83" i="4"/>
  <c r="J3" i="4"/>
  <c r="K3" i="4"/>
  <c r="K82" i="4"/>
  <c r="K81" i="4"/>
  <c r="K80" i="4"/>
  <c r="K79" i="4"/>
  <c r="I83" i="4"/>
  <c r="J83" i="4" s="1"/>
  <c r="I82" i="4"/>
  <c r="J82" i="4" s="1"/>
  <c r="P16" i="4"/>
  <c r="P40" i="4"/>
  <c r="P56" i="4"/>
  <c r="Q24" i="4"/>
  <c r="H63" i="4"/>
  <c r="I63" i="4" s="1"/>
  <c r="R63" i="4"/>
  <c r="H38" i="4"/>
  <c r="I38" i="4" s="1"/>
  <c r="R38" i="4"/>
  <c r="T56" i="4"/>
  <c r="Q40" i="4"/>
  <c r="Q32" i="4"/>
  <c r="T40" i="4"/>
  <c r="Q56" i="4"/>
  <c r="Q64" i="4"/>
  <c r="P8" i="4"/>
  <c r="Q16" i="4"/>
  <c r="R28" i="4"/>
  <c r="R37" i="4"/>
  <c r="H37" i="4"/>
  <c r="I37" i="4" s="1"/>
  <c r="R22" i="4"/>
  <c r="H22" i="4"/>
  <c r="I22" i="4" s="1"/>
  <c r="T16" i="4"/>
  <c r="R30" i="4"/>
  <c r="H30" i="4"/>
  <c r="I30" i="4" s="1"/>
  <c r="K56" i="4"/>
  <c r="R15" i="4"/>
  <c r="H15" i="4"/>
  <c r="I15" i="4" s="1"/>
  <c r="R7" i="4"/>
  <c r="H7" i="4"/>
  <c r="I7" i="4" s="1"/>
  <c r="R12" i="4"/>
  <c r="H12" i="4"/>
  <c r="I12" i="4" s="1"/>
  <c r="H13" i="4"/>
  <c r="I13" i="4" s="1"/>
  <c r="R13" i="4"/>
  <c r="K24" i="4"/>
  <c r="R52" i="4"/>
  <c r="H52" i="4"/>
  <c r="I52" i="4" s="1"/>
  <c r="U8" i="4"/>
  <c r="K9" i="4"/>
  <c r="K16" i="4"/>
  <c r="T32" i="4"/>
  <c r="T24" i="4"/>
  <c r="K33" i="4"/>
  <c r="K32" i="4"/>
  <c r="R27" i="4"/>
  <c r="H27" i="4"/>
  <c r="I27" i="4" s="1"/>
  <c r="R35" i="4"/>
  <c r="K41" i="4"/>
  <c r="K40" i="4"/>
  <c r="H35" i="4"/>
  <c r="I35" i="4" s="1"/>
  <c r="R55" i="4"/>
  <c r="H55" i="4"/>
  <c r="I55" i="4" s="1"/>
  <c r="K65" i="4"/>
  <c r="R60" i="4"/>
  <c r="H60" i="4"/>
  <c r="I60" i="4" s="1"/>
  <c r="R23" i="4"/>
  <c r="H23" i="4"/>
  <c r="I23" i="4" s="1"/>
  <c r="R53" i="4"/>
  <c r="H53" i="4"/>
  <c r="I53" i="4" s="1"/>
  <c r="K64" i="4"/>
  <c r="H20" i="4"/>
  <c r="I20" i="4" s="1"/>
  <c r="K25" i="4"/>
  <c r="R20" i="4"/>
  <c r="R5" i="4"/>
  <c r="H5" i="4"/>
  <c r="I5" i="4" s="1"/>
  <c r="K8" i="4"/>
  <c r="T64" i="4"/>
  <c r="R62" i="4"/>
  <c r="H62" i="4"/>
  <c r="I62" i="4" s="1"/>
  <c r="T8" i="4"/>
  <c r="K17" i="4"/>
  <c r="K57" i="4"/>
  <c r="P32" i="4"/>
  <c r="Q8" i="4"/>
  <c r="H4" i="4"/>
  <c r="I4" i="4" s="1"/>
  <c r="H19" i="4"/>
  <c r="I19" i="4" s="1"/>
  <c r="R19" i="4"/>
  <c r="H29" i="4"/>
  <c r="I29" i="4" s="1"/>
  <c r="H39" i="4"/>
  <c r="I39" i="4" s="1"/>
  <c r="H59" i="4"/>
  <c r="I59" i="4" s="1"/>
  <c r="R59" i="4"/>
  <c r="H14" i="4"/>
  <c r="I14" i="4" s="1"/>
  <c r="P24" i="4"/>
  <c r="H36" i="4"/>
  <c r="I36" i="4" s="1"/>
  <c r="H54" i="4"/>
  <c r="I54" i="4" s="1"/>
  <c r="P64" i="4"/>
  <c r="H6" i="4"/>
  <c r="I6" i="4" s="1"/>
  <c r="H11" i="4"/>
  <c r="I11" i="4" s="1"/>
  <c r="R11" i="4"/>
  <c r="H21" i="4"/>
  <c r="I21" i="4" s="1"/>
  <c r="H31" i="4"/>
  <c r="I31" i="4" s="1"/>
  <c r="H51" i="4"/>
  <c r="I51" i="4" s="1"/>
  <c r="R51" i="4"/>
  <c r="H61" i="4"/>
  <c r="I61" i="4" s="1"/>
  <c r="BD12" i="3"/>
  <c r="BD14" i="3"/>
  <c r="BD11" i="3"/>
  <c r="BD16" i="3"/>
  <c r="BD9" i="3"/>
  <c r="BD10" i="3"/>
  <c r="BC17" i="3"/>
  <c r="BD17" i="3" s="1"/>
  <c r="BC13" i="3"/>
  <c r="BD13" i="3" s="1"/>
  <c r="AX10" i="2"/>
  <c r="AX16" i="2"/>
  <c r="AS17" i="2"/>
  <c r="AS20" i="2" s="1"/>
  <c r="AW13" i="2"/>
  <c r="AX13" i="2" s="1"/>
  <c r="AW15" i="2"/>
  <c r="AX15" i="2" s="1"/>
  <c r="AW17" i="2"/>
  <c r="AX17" i="2" s="1"/>
  <c r="AW11" i="2"/>
  <c r="AX11" i="2" s="1"/>
  <c r="AW9" i="2"/>
  <c r="AX9" i="2" s="1"/>
  <c r="AW12" i="2"/>
  <c r="AX12" i="2" s="1"/>
  <c r="AW14" i="2"/>
  <c r="AX14" i="2" s="1"/>
  <c r="AB18" i="2" l="1"/>
  <c r="AB19" i="2" s="1"/>
  <c r="AY21" i="3"/>
  <c r="AY19" i="3"/>
  <c r="BB29" i="3" s="1"/>
  <c r="H3" i="4"/>
  <c r="I3" i="4" s="1"/>
  <c r="R3" i="4"/>
  <c r="I81" i="4"/>
  <c r="J81" i="4" s="1"/>
  <c r="I77" i="4"/>
  <c r="J77" i="4" s="1"/>
  <c r="BD22" i="3"/>
  <c r="BC22" i="3"/>
  <c r="AX45" i="3" s="1"/>
  <c r="BE28" i="3"/>
  <c r="BB22" i="3"/>
  <c r="AX38" i="3" s="1"/>
  <c r="BD28" i="3"/>
  <c r="BC28" i="3"/>
  <c r="BB28" i="3"/>
  <c r="BE22" i="3"/>
  <c r="BC29" i="3"/>
  <c r="BD23" i="3"/>
  <c r="BE23" i="3"/>
  <c r="BC23" i="3"/>
  <c r="AX46" i="3" s="1"/>
  <c r="BE29" i="3"/>
  <c r="BB23" i="3"/>
  <c r="AX39" i="3" s="1"/>
  <c r="BD29" i="3"/>
  <c r="BC27" i="3"/>
  <c r="BB27" i="3"/>
  <c r="BE21" i="3"/>
  <c r="BD21" i="3"/>
  <c r="BC21" i="3"/>
  <c r="AX44" i="3" s="1"/>
  <c r="BE27" i="3"/>
  <c r="BB21" i="3"/>
  <c r="AX37" i="3" s="1"/>
  <c r="BD27" i="3"/>
  <c r="AS23" i="2"/>
  <c r="AS22" i="2"/>
  <c r="AS21" i="2"/>
  <c r="AX31" i="2" l="1"/>
  <c r="AW31" i="2"/>
  <c r="AV31" i="2"/>
  <c r="AY25" i="2"/>
  <c r="AV25" i="2"/>
  <c r="AX25" i="2"/>
  <c r="AW25" i="2"/>
  <c r="AY31" i="2"/>
  <c r="AY24" i="2"/>
  <c r="AX24" i="2"/>
  <c r="AW24" i="2"/>
  <c r="AY30" i="2"/>
  <c r="AV24" i="2"/>
  <c r="AX30" i="2"/>
  <c r="AW30" i="2"/>
  <c r="AV30" i="2"/>
  <c r="AX29" i="2"/>
  <c r="AW29" i="2"/>
  <c r="AV29" i="2"/>
  <c r="AY23" i="2"/>
  <c r="AX23" i="2"/>
  <c r="AW23" i="2"/>
  <c r="AY29" i="2"/>
  <c r="AV23" i="2"/>
</calcChain>
</file>

<file path=xl/sharedStrings.xml><?xml version="1.0" encoding="utf-8"?>
<sst xmlns="http://schemas.openxmlformats.org/spreadsheetml/2006/main" count="593" uniqueCount="133">
  <si>
    <t>Volumen tubo</t>
  </si>
  <si>
    <t>Longitud</t>
  </si>
  <si>
    <t>aceleración gravedad</t>
  </si>
  <si>
    <t>Diámetro</t>
  </si>
  <si>
    <t>Área</t>
  </si>
  <si>
    <t>viscosidad cinemática a 20º</t>
  </si>
  <si>
    <t>Sin Tornillos</t>
  </si>
  <si>
    <t>El diámetro interior de las tuberías el normalizado. Son tuberías PN10.</t>
  </si>
  <si>
    <t xml:space="preserve">Q (m3/h) </t>
  </si>
  <si>
    <t>Hf (kPa)</t>
  </si>
  <si>
    <t>Kv</t>
  </si>
  <si>
    <t>La tubería DN250 tiene 540 tornillos y la DN300, 630</t>
  </si>
  <si>
    <t>PN</t>
  </si>
  <si>
    <t>DN</t>
  </si>
  <si>
    <t>Dinterior</t>
  </si>
  <si>
    <t>Tornillos circulo</t>
  </si>
  <si>
    <t>Nº total tornillos</t>
  </si>
  <si>
    <t>21 tornillos por círculo</t>
  </si>
  <si>
    <t>11 hileras de círculos</t>
  </si>
  <si>
    <t>Volumen tornillos (mm3)</t>
  </si>
  <si>
    <t>%de la luz total</t>
  </si>
  <si>
    <t>%sección circular</t>
  </si>
  <si>
    <t>PN16</t>
  </si>
  <si>
    <t>Características de los tornillos</t>
  </si>
  <si>
    <t>% tornillos</t>
  </si>
  <si>
    <t>depth (mm)</t>
  </si>
  <si>
    <t>mm3</t>
  </si>
  <si>
    <t>No total de tornillos</t>
  </si>
  <si>
    <t>Tornillos por círcunferencia</t>
  </si>
  <si>
    <t>25%_Tornillos 20 mm</t>
  </si>
  <si>
    <t>25%_Tornillos 30 mm</t>
  </si>
  <si>
    <t>25%_Tornillos 40 mm</t>
  </si>
  <si>
    <t xml:space="preserve">número de secciones con tornillos </t>
  </si>
  <si>
    <t>Diámetro tornillo rosca</t>
  </si>
  <si>
    <t>mm</t>
  </si>
  <si>
    <t>Diámetro interior tubería</t>
  </si>
  <si>
    <t>Circunferencia</t>
  </si>
  <si>
    <t>Distancia entre tornillos</t>
  </si>
  <si>
    <t>área tornillo rosca</t>
  </si>
  <si>
    <t>mm2</t>
  </si>
  <si>
    <t>m2</t>
  </si>
  <si>
    <t>Area todos</t>
  </si>
  <si>
    <t>50%_Tornillos 20 mm</t>
  </si>
  <si>
    <t>50%_Tornillos 30 mm</t>
  </si>
  <si>
    <t>50%_Tornillos 40 mm</t>
  </si>
  <si>
    <t>Volumen Todos a 40mm</t>
  </si>
  <si>
    <t>m3</t>
  </si>
  <si>
    <t>%Volumen respecto al total</t>
  </si>
  <si>
    <t>% de tornillos respecto a los 540</t>
  </si>
  <si>
    <t xml:space="preserve">Volumen todos a 30mm </t>
  </si>
  <si>
    <t>Profundidad tornillos (m)</t>
  </si>
  <si>
    <t>Volumen todos a 20mm</t>
  </si>
  <si>
    <t>Volumen tornillos m3</t>
  </si>
  <si>
    <t>75%_Tornillos 20 mm</t>
  </si>
  <si>
    <t>75%_Tornillos 30 mm</t>
  </si>
  <si>
    <t>75%_Tornillos 40 mm</t>
  </si>
  <si>
    <t>U(q)</t>
  </si>
  <si>
    <t>U(Hf)</t>
  </si>
  <si>
    <t>% de tornillos respecto a los 630</t>
  </si>
  <si>
    <t>Experimental</t>
  </si>
  <si>
    <t>Ajustado_colebrook Valores incoherentes</t>
  </si>
  <si>
    <t>Ajustados a mano</t>
  </si>
  <si>
    <t>Aceleración</t>
  </si>
  <si>
    <t>Valores de rugosidad absoluta de Borja</t>
  </si>
  <si>
    <t>Ajustado f</t>
  </si>
  <si>
    <t>Pérdidas de carga (kPa/m)</t>
  </si>
  <si>
    <t>EXP</t>
  </si>
  <si>
    <t>Caudal (m3/h)</t>
  </si>
  <si>
    <t>Velocidad (m/s)</t>
  </si>
  <si>
    <t>Pérdida (KPA)</t>
  </si>
  <si>
    <t>Pérdidas (kPa/m)</t>
  </si>
  <si>
    <t>Reynols</t>
  </si>
  <si>
    <t>Experimental f</t>
  </si>
  <si>
    <t>Rugosidad absoluta Colebrook (mm)</t>
  </si>
  <si>
    <t>Rugosidad absoluta a mano (m)</t>
  </si>
  <si>
    <t>Rugosidad en mm</t>
  </si>
  <si>
    <t>Caudal (L/s)</t>
  </si>
  <si>
    <t>Rugosidad absoluta a mano (mm)</t>
  </si>
  <si>
    <t>Rugosidad relativa</t>
  </si>
  <si>
    <t>Rugosidad relativa a mano</t>
  </si>
  <si>
    <t>MST</t>
  </si>
  <si>
    <t>50%-20 mm</t>
  </si>
  <si>
    <t>50%-30 mm</t>
  </si>
  <si>
    <t>50%-40 mm</t>
  </si>
  <si>
    <t>SIN TORNILLOS</t>
  </si>
  <si>
    <t>TODOS-20 mm</t>
  </si>
  <si>
    <t>TODOS-30 mm</t>
  </si>
  <si>
    <t>TODOS-40 mm</t>
  </si>
  <si>
    <t>Diámero del tornillo</t>
  </si>
  <si>
    <t>depth</t>
  </si>
  <si>
    <t>Extremely high</t>
  </si>
  <si>
    <t>Very high</t>
  </si>
  <si>
    <t>nula</t>
  </si>
  <si>
    <t>High</t>
  </si>
  <si>
    <t>Moderate</t>
  </si>
  <si>
    <t>Moderate-high</t>
  </si>
  <si>
    <t>Volumen ocupan tornillos</t>
  </si>
  <si>
    <t>Pérdida de carga (fórmula)</t>
  </si>
  <si>
    <t>DeltaP = f L/D rho v^2/2</t>
  </si>
  <si>
    <t>Área tornillos</t>
  </si>
  <si>
    <t>Volumen todos a 40</t>
  </si>
  <si>
    <t>Volumen todos a 30</t>
  </si>
  <si>
    <t>Volumen todos a 20</t>
  </si>
  <si>
    <t>V (m/s)</t>
  </si>
  <si>
    <t>Re</t>
  </si>
  <si>
    <t>f</t>
  </si>
  <si>
    <t>DELTAP*D/L*g*(v^2)/2</t>
  </si>
  <si>
    <t>Ecuación de Hazzen Williams. C factor de fricción. solo es válido para tuberías de fundición y acero.Tuberías con velocidades &lt; 3m/s. Régimen laminar</t>
  </si>
  <si>
    <t>Ecuación de Darcy Weisbach</t>
  </si>
  <si>
    <t>h=f*L/D*(v^2)/(2*g)</t>
  </si>
  <si>
    <t>Es un hecho demostrado que la rugosidad relativa no influye sobre f en régimen laminar (Re &lt; 2000), ya que el rozamiento se debe fundamentalmente a la fricción de unas capas de fluido sobre otras y no de éstas sobre las paredes de la tubería. Sin embargo, para Re &gt; 2000 las cosas cambian y la rugosidad relativa adquiere notable importancia, como veremos posteriormente.</t>
  </si>
  <si>
    <t>f^0.5</t>
  </si>
  <si>
    <t>1/f^0.5</t>
  </si>
  <si>
    <t>10^(1/f^0.5)</t>
  </si>
  <si>
    <t>(1/10^(1/f^0.5))^0.5</t>
  </si>
  <si>
    <t>(1/10^(1/f^0.5))</t>
  </si>
  <si>
    <t>(1/10^(1/f^0.5))^0.5-(2.51/(Re*f^0.5))</t>
  </si>
  <si>
    <t>Resolución ecuación de pérdidas de carga para flujos turbulentos</t>
  </si>
  <si>
    <t>Rugosidad absoluta (mm)</t>
  </si>
  <si>
    <t>Promedio</t>
  </si>
  <si>
    <t>DE</t>
  </si>
  <si>
    <t>Para este trabajo se utilizará la fórmula siguiente para obtener la rugosidad absoluta, e,</t>
  </si>
  <si>
    <t>x</t>
  </si>
  <si>
    <t>2ª Karmann Prand</t>
  </si>
  <si>
    <t>Colebrook</t>
  </si>
  <si>
    <t>Rugosidad abso (mm)</t>
  </si>
  <si>
    <t>%volume occupied</t>
  </si>
  <si>
    <t>Average</t>
  </si>
  <si>
    <t>SD</t>
  </si>
  <si>
    <t>Absolute Roughness</t>
  </si>
  <si>
    <t>Max</t>
  </si>
  <si>
    <t>Min</t>
  </si>
  <si>
    <t>Velocidades (m/s)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</si>
</sst>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64" formatCode="0.0"/>
    <numFmt numFmtId="165" formatCode="0.000000"/>
    <numFmt numFmtId="166" formatCode="0.000"/>
    <numFmt numFmtId="167" formatCode="0.00000"/>
    <numFmt numFmtId="168" formatCode="0.0000"/>
    <numFmt numFmtId="169" formatCode="0.0000000"/>
    <numFmt numFmtId="170" formatCode="0.0000000000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color theme="1"/>
      <name val="Calibri Light"/>
      <family val="2"/>
      <scheme val="major"/>
    </font>
    <font>
      <b/>
      <sz val="10"/>
      <color theme="1"/>
      <name val="Calibri"/>
      <family val="2"/>
      <scheme val="minor"/>
    </font>
    <font>
      <sz val="11"/>
      <color rgb="FF1F497D"/>
      <name val="Calibri Light"/>
      <family val="2"/>
    </font>
    <font>
      <b/>
      <sz val="10"/>
      <name val="Calibri"/>
      <family val="2"/>
      <scheme val="minor"/>
    </font>
    <font>
      <b/>
      <sz val="12"/>
      <color theme="1"/>
      <name val="Calibri Light"/>
      <family val="2"/>
      <scheme val="major"/>
    </font>
    <font>
      <sz val="10"/>
      <name val="Arial"/>
      <family val="2"/>
      <charset val="1"/>
    </font>
    <font>
      <sz val="14"/>
      <name val="Arial"/>
      <family val="2"/>
      <charset val="1"/>
    </font>
    <font>
      <sz val="16"/>
      <name val="Arial"/>
      <family val="2"/>
      <charset val="1"/>
    </font>
    <font>
      <sz val="20"/>
      <name val="Arial"/>
      <family val="2"/>
      <charset val="1"/>
    </font>
    <font>
      <b/>
      <sz val="10"/>
      <color theme="1"/>
      <name val="Calibri Light"/>
      <family val="2"/>
      <scheme val="maj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 Light"/>
      <family val="2"/>
      <scheme val="major"/>
    </font>
    <font>
      <sz val="12"/>
      <name val="Arial"/>
      <family val="2"/>
      <charset val="1"/>
    </font>
  </fonts>
  <fills count="11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DDDDD"/>
        <bgColor rgb="FFCCFFCC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C00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7" fillId="0" borderId="0"/>
  </cellStyleXfs>
  <cellXfs count="102">
    <xf numFmtId="0" fontId="0" fillId="0" borderId="0" xfId="0"/>
    <xf numFmtId="0" fontId="2" fillId="0" borderId="0" xfId="0" applyFont="1"/>
    <xf numFmtId="0" fontId="4" fillId="0" borderId="0" xfId="0" applyFont="1"/>
    <xf numFmtId="0" fontId="5" fillId="3" borderId="1" xfId="0" applyFont="1" applyFill="1" applyBorder="1" applyAlignment="1" applyProtection="1">
      <alignment horizontal="center" vertical="center"/>
    </xf>
    <xf numFmtId="0" fontId="5" fillId="3" borderId="1" xfId="0" applyFont="1" applyFill="1" applyBorder="1" applyAlignment="1" applyProtection="1">
      <alignment horizontal="center" vertical="center" wrapText="1"/>
    </xf>
    <xf numFmtId="2" fontId="2" fillId="0" borderId="1" xfId="0" applyNumberFormat="1" applyFont="1" applyBorder="1" applyAlignment="1">
      <alignment horizontal="center"/>
    </xf>
    <xf numFmtId="0" fontId="2" fillId="4" borderId="0" xfId="0" applyFont="1" applyFill="1"/>
    <xf numFmtId="1" fontId="0" fillId="0" borderId="0" xfId="0" applyNumberFormat="1"/>
    <xf numFmtId="2" fontId="0" fillId="0" borderId="0" xfId="0" applyNumberFormat="1"/>
    <xf numFmtId="164" fontId="0" fillId="0" borderId="0" xfId="0" applyNumberFormat="1"/>
    <xf numFmtId="1" fontId="0" fillId="0" borderId="0" xfId="1" applyNumberFormat="1" applyFont="1"/>
    <xf numFmtId="0" fontId="0" fillId="4" borderId="0" xfId="0" applyFill="1"/>
    <xf numFmtId="0" fontId="6" fillId="0" borderId="0" xfId="0" applyFont="1"/>
    <xf numFmtId="165" fontId="6" fillId="0" borderId="0" xfId="0" applyNumberFormat="1" applyFont="1"/>
    <xf numFmtId="0" fontId="3" fillId="0" borderId="0" xfId="0" applyFont="1" applyFill="1" applyBorder="1" applyAlignment="1"/>
    <xf numFmtId="0" fontId="5" fillId="0" borderId="0" xfId="0" applyFont="1" applyFill="1" applyBorder="1" applyAlignment="1" applyProtection="1">
      <alignment horizontal="center" vertical="center"/>
    </xf>
    <xf numFmtId="2" fontId="2" fillId="0" borderId="0" xfId="0" applyNumberFormat="1" applyFont="1" applyBorder="1" applyAlignment="1">
      <alignment horizontal="center"/>
    </xf>
    <xf numFmtId="0" fontId="2" fillId="6" borderId="0" xfId="0" applyFont="1" applyFill="1"/>
    <xf numFmtId="2" fontId="2" fillId="0" borderId="2" xfId="0" applyNumberFormat="1" applyFont="1" applyBorder="1" applyAlignment="1">
      <alignment horizontal="center"/>
    </xf>
    <xf numFmtId="166" fontId="2" fillId="0" borderId="1" xfId="0" applyNumberFormat="1" applyFont="1" applyBorder="1" applyAlignment="1">
      <alignment horizontal="center"/>
    </xf>
    <xf numFmtId="167" fontId="2" fillId="0" borderId="0" xfId="0" applyNumberFormat="1" applyFont="1"/>
    <xf numFmtId="0" fontId="7" fillId="0" borderId="0" xfId="2"/>
    <xf numFmtId="0" fontId="7" fillId="7" borderId="0" xfId="2" applyFill="1"/>
    <xf numFmtId="1" fontId="7" fillId="7" borderId="0" xfId="2" applyNumberFormat="1" applyFill="1"/>
    <xf numFmtId="0" fontId="7" fillId="4" borderId="0" xfId="2" applyFill="1"/>
    <xf numFmtId="1" fontId="7" fillId="0" borderId="0" xfId="2" applyNumberFormat="1"/>
    <xf numFmtId="0" fontId="7" fillId="8" borderId="0" xfId="2" applyFont="1" applyFill="1"/>
    <xf numFmtId="168" fontId="7" fillId="0" borderId="0" xfId="2" applyNumberFormat="1"/>
    <xf numFmtId="0" fontId="7" fillId="8" borderId="0" xfId="2" applyFill="1"/>
    <xf numFmtId="0" fontId="7" fillId="0" borderId="0" xfId="2" applyFill="1"/>
    <xf numFmtId="166" fontId="7" fillId="0" borderId="0" xfId="2" applyNumberFormat="1"/>
    <xf numFmtId="0" fontId="0" fillId="8" borderId="0" xfId="0" applyFont="1" applyFill="1"/>
    <xf numFmtId="0" fontId="0" fillId="8" borderId="0" xfId="0" applyFill="1"/>
    <xf numFmtId="0" fontId="0" fillId="0" borderId="0" xfId="0" applyNumberFormat="1"/>
    <xf numFmtId="169" fontId="0" fillId="0" borderId="0" xfId="0" applyNumberFormat="1"/>
    <xf numFmtId="0" fontId="3" fillId="5" borderId="0" xfId="0" applyFont="1" applyFill="1" applyBorder="1" applyAlignment="1">
      <alignment horizontal="center"/>
    </xf>
    <xf numFmtId="0" fontId="3" fillId="2" borderId="0" xfId="0" applyFont="1" applyFill="1" applyBorder="1" applyAlignment="1">
      <alignment horizontal="center"/>
    </xf>
    <xf numFmtId="0" fontId="5" fillId="3" borderId="0" xfId="0" applyFont="1" applyFill="1" applyBorder="1" applyAlignment="1" applyProtection="1">
      <alignment horizontal="center" vertical="center"/>
    </xf>
    <xf numFmtId="166" fontId="2" fillId="0" borderId="0" xfId="0" applyNumberFormat="1" applyFont="1" applyBorder="1" applyAlignment="1">
      <alignment horizontal="center"/>
    </xf>
    <xf numFmtId="0" fontId="11" fillId="0" borderId="0" xfId="0" applyFont="1"/>
    <xf numFmtId="2" fontId="2" fillId="0" borderId="0" xfId="0" applyNumberFormat="1" applyFont="1"/>
    <xf numFmtId="164" fontId="2" fillId="0" borderId="0" xfId="0" applyNumberFormat="1" applyFont="1"/>
    <xf numFmtId="0" fontId="3" fillId="2" borderId="1" xfId="0" applyFont="1" applyFill="1" applyBorder="1" applyAlignment="1">
      <alignment horizontal="center"/>
    </xf>
    <xf numFmtId="1" fontId="2" fillId="0" borderId="1" xfId="0" applyNumberFormat="1" applyFont="1" applyBorder="1" applyAlignment="1">
      <alignment horizontal="center"/>
    </xf>
    <xf numFmtId="168" fontId="2" fillId="0" borderId="1" xfId="0" applyNumberFormat="1" applyFont="1" applyBorder="1" applyAlignment="1">
      <alignment horizontal="center"/>
    </xf>
    <xf numFmtId="0" fontId="0" fillId="0" borderId="0" xfId="0" applyAlignment="1">
      <alignment wrapText="1"/>
    </xf>
    <xf numFmtId="0" fontId="11" fillId="9" borderId="0" xfId="0" applyFont="1" applyFill="1" applyAlignment="1">
      <alignment horizontal="center"/>
    </xf>
    <xf numFmtId="166" fontId="2" fillId="0" borderId="0" xfId="0" applyNumberFormat="1" applyFont="1"/>
    <xf numFmtId="0" fontId="5" fillId="3" borderId="1" xfId="0" applyFont="1" applyFill="1" applyBorder="1" applyAlignment="1" applyProtection="1">
      <alignment horizontal="left" vertical="center"/>
    </xf>
    <xf numFmtId="167" fontId="2" fillId="0" borderId="1" xfId="0" applyNumberFormat="1" applyFont="1" applyBorder="1" applyAlignment="1">
      <alignment horizontal="center"/>
    </xf>
    <xf numFmtId="164" fontId="2" fillId="0" borderId="1" xfId="0" applyNumberFormat="1" applyFont="1" applyBorder="1" applyAlignment="1">
      <alignment horizontal="center"/>
    </xf>
    <xf numFmtId="2" fontId="2" fillId="4" borderId="1" xfId="0" applyNumberFormat="1" applyFont="1" applyFill="1" applyBorder="1" applyAlignment="1">
      <alignment horizontal="center"/>
    </xf>
    <xf numFmtId="1" fontId="2" fillId="0" borderId="0" xfId="0" applyNumberFormat="1" applyFont="1" applyBorder="1" applyAlignment="1">
      <alignment horizontal="center"/>
    </xf>
    <xf numFmtId="168" fontId="2" fillId="0" borderId="0" xfId="0" applyNumberFormat="1" applyFont="1" applyBorder="1" applyAlignment="1">
      <alignment horizontal="center"/>
    </xf>
    <xf numFmtId="170" fontId="2" fillId="0" borderId="0" xfId="0" applyNumberFormat="1" applyFont="1" applyBorder="1" applyAlignment="1">
      <alignment horizontal="center"/>
    </xf>
    <xf numFmtId="166" fontId="2" fillId="4" borderId="1" xfId="0" applyNumberFormat="1" applyFont="1" applyFill="1" applyBorder="1" applyAlignment="1">
      <alignment horizontal="center"/>
    </xf>
    <xf numFmtId="9" fontId="3" fillId="5" borderId="1" xfId="0" applyNumberFormat="1" applyFont="1" applyFill="1" applyBorder="1" applyAlignment="1">
      <alignment horizontal="center"/>
    </xf>
    <xf numFmtId="0" fontId="3" fillId="5" borderId="1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center"/>
    </xf>
    <xf numFmtId="0" fontId="0" fillId="0" borderId="0" xfId="0" applyFont="1" applyBorder="1" applyAlignment="1">
      <alignment horizontal="center" vertical="center"/>
    </xf>
    <xf numFmtId="0" fontId="8" fillId="0" borderId="0" xfId="2" applyFont="1" applyAlignment="1">
      <alignment horizontal="center" vertical="center"/>
    </xf>
    <xf numFmtId="0" fontId="9" fillId="0" borderId="0" xfId="2" applyFont="1" applyAlignment="1">
      <alignment horizontal="center" vertical="center"/>
    </xf>
    <xf numFmtId="0" fontId="7" fillId="0" borderId="0" xfId="2" applyAlignment="1"/>
    <xf numFmtId="0" fontId="10" fillId="0" borderId="0" xfId="2" applyFont="1" applyAlignment="1">
      <alignment horizontal="center" vertical="center"/>
    </xf>
    <xf numFmtId="0" fontId="7" fillId="0" borderId="0" xfId="2" applyFont="1" applyBorder="1" applyAlignment="1">
      <alignment horizontal="center" vertical="center"/>
    </xf>
    <xf numFmtId="168" fontId="11" fillId="0" borderId="1" xfId="0" applyNumberFormat="1" applyFont="1" applyBorder="1" applyAlignment="1">
      <alignment horizontal="center"/>
    </xf>
    <xf numFmtId="2" fontId="11" fillId="0" borderId="1" xfId="0" applyNumberFormat="1" applyFont="1" applyBorder="1" applyAlignment="1">
      <alignment horizontal="center"/>
    </xf>
    <xf numFmtId="164" fontId="11" fillId="0" borderId="1" xfId="0" applyNumberFormat="1" applyFont="1" applyBorder="1" applyAlignment="1">
      <alignment horizontal="center"/>
    </xf>
    <xf numFmtId="2" fontId="11" fillId="0" borderId="0" xfId="0" applyNumberFormat="1" applyFont="1"/>
    <xf numFmtId="166" fontId="11" fillId="0" borderId="1" xfId="0" applyNumberFormat="1" applyFont="1" applyBorder="1" applyAlignment="1">
      <alignment horizontal="center"/>
    </xf>
    <xf numFmtId="164" fontId="11" fillId="0" borderId="0" xfId="0" applyNumberFormat="1" applyFont="1"/>
    <xf numFmtId="166" fontId="11" fillId="0" borderId="0" xfId="0" applyNumberFormat="1" applyFont="1"/>
    <xf numFmtId="167" fontId="11" fillId="0" borderId="0" xfId="0" applyNumberFormat="1" applyFont="1"/>
    <xf numFmtId="165" fontId="2" fillId="0" borderId="0" xfId="0" applyNumberFormat="1" applyFont="1"/>
    <xf numFmtId="168" fontId="2" fillId="0" borderId="0" xfId="0" applyNumberFormat="1" applyFont="1"/>
    <xf numFmtId="9" fontId="6" fillId="0" borderId="0" xfId="0" applyNumberFormat="1" applyFont="1" applyAlignment="1">
      <alignment horizontal="center" vertical="center" wrapText="1"/>
    </xf>
    <xf numFmtId="0" fontId="13" fillId="0" borderId="0" xfId="0" applyFont="1" applyAlignment="1">
      <alignment horizontal="center" vertical="center" wrapText="1"/>
    </xf>
    <xf numFmtId="9" fontId="14" fillId="0" borderId="0" xfId="0" applyNumberFormat="1" applyFont="1"/>
    <xf numFmtId="0" fontId="14" fillId="0" borderId="0" xfId="0" applyFont="1"/>
    <xf numFmtId="165" fontId="14" fillId="0" borderId="0" xfId="0" applyNumberFormat="1" applyFont="1"/>
    <xf numFmtId="2" fontId="15" fillId="0" borderId="0" xfId="2" applyNumberFormat="1" applyFont="1"/>
    <xf numFmtId="2" fontId="14" fillId="0" borderId="0" xfId="0" applyNumberFormat="1" applyFont="1"/>
    <xf numFmtId="164" fontId="14" fillId="0" borderId="0" xfId="0" applyNumberFormat="1" applyFont="1"/>
    <xf numFmtId="164" fontId="15" fillId="0" borderId="0" xfId="2" applyNumberFormat="1" applyFont="1"/>
    <xf numFmtId="1" fontId="11" fillId="0" borderId="1" xfId="0" applyNumberFormat="1" applyFont="1" applyBorder="1" applyAlignment="1">
      <alignment horizontal="center"/>
    </xf>
    <xf numFmtId="1" fontId="11" fillId="0" borderId="0" xfId="0" applyNumberFormat="1" applyFont="1" applyBorder="1" applyAlignment="1">
      <alignment horizontal="center"/>
    </xf>
    <xf numFmtId="166" fontId="11" fillId="0" borderId="0" xfId="0" applyNumberFormat="1" applyFont="1" applyBorder="1" applyAlignment="1">
      <alignment horizontal="center"/>
    </xf>
    <xf numFmtId="2" fontId="11" fillId="0" borderId="0" xfId="0" applyNumberFormat="1" applyFont="1" applyBorder="1" applyAlignment="1">
      <alignment horizontal="center"/>
    </xf>
    <xf numFmtId="164" fontId="6" fillId="0" borderId="0" xfId="0" applyNumberFormat="1" applyFont="1"/>
    <xf numFmtId="2" fontId="2" fillId="4" borderId="0" xfId="0" applyNumberFormat="1" applyFont="1" applyFill="1"/>
    <xf numFmtId="164" fontId="15" fillId="4" borderId="0" xfId="2" applyNumberFormat="1" applyFont="1" applyFill="1"/>
    <xf numFmtId="2" fontId="11" fillId="4" borderId="0" xfId="0" applyNumberFormat="1" applyFont="1" applyFill="1"/>
    <xf numFmtId="164" fontId="14" fillId="4" borderId="0" xfId="0" applyNumberFormat="1" applyFont="1" applyFill="1"/>
    <xf numFmtId="2" fontId="15" fillId="10" borderId="0" xfId="2" applyNumberFormat="1" applyFont="1" applyFill="1"/>
    <xf numFmtId="164" fontId="15" fillId="10" borderId="0" xfId="2" applyNumberFormat="1" applyFont="1" applyFill="1"/>
    <xf numFmtId="2" fontId="2" fillId="10" borderId="0" xfId="0" applyNumberFormat="1" applyFont="1" applyFill="1"/>
    <xf numFmtId="164" fontId="14" fillId="10" borderId="0" xfId="0" applyNumberFormat="1" applyFont="1" applyFill="1"/>
    <xf numFmtId="0" fontId="11" fillId="0" borderId="0" xfId="0" applyFont="1" applyAlignment="1">
      <alignment horizontal="center" vertical="center" wrapText="1"/>
    </xf>
    <xf numFmtId="0" fontId="12" fillId="0" borderId="0" xfId="0" applyFont="1" applyAlignment="1">
      <alignment horizontal="center" vertical="center" wrapText="1"/>
    </xf>
    <xf numFmtId="166" fontId="2" fillId="4" borderId="0" xfId="0" applyNumberFormat="1" applyFont="1" applyFill="1"/>
    <xf numFmtId="164" fontId="6" fillId="10" borderId="0" xfId="0" applyNumberFormat="1" applyFont="1" applyFill="1"/>
    <xf numFmtId="164" fontId="6" fillId="4" borderId="0" xfId="0" applyNumberFormat="1" applyFont="1" applyFill="1"/>
  </cellXfs>
  <cellStyles count="3">
    <cellStyle name="Normal" xfId="0" builtinId="0"/>
    <cellStyle name="Normal 2" xfId="2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chartsheet" Target="chartsheets/sheet3.xml"/><Relationship Id="rId7" Type="http://schemas.openxmlformats.org/officeDocument/2006/relationships/worksheet" Target="worksheets/sheet4.xml"/><Relationship Id="rId2" Type="http://schemas.openxmlformats.org/officeDocument/2006/relationships/chartsheet" Target="chartsheets/sheet2.xml"/><Relationship Id="rId1" Type="http://schemas.openxmlformats.org/officeDocument/2006/relationships/chartsheet" Target="chartsheets/sheet1.xml"/><Relationship Id="rId6" Type="http://schemas.openxmlformats.org/officeDocument/2006/relationships/worksheet" Target="worksheets/sheet3.xml"/><Relationship Id="rId11" Type="http://schemas.openxmlformats.org/officeDocument/2006/relationships/calcChain" Target="calcChain.xml"/><Relationship Id="rId5" Type="http://schemas.openxmlformats.org/officeDocument/2006/relationships/worksheet" Target="worksheets/sheet2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0823559578351528"/>
          <c:y val="1.9933251618967248E-2"/>
          <c:w val="0.87140222361881425"/>
          <c:h val="0.85266337419380511"/>
        </c:manualLayout>
      </c:layout>
      <c:scatterChart>
        <c:scatterStyle val="lineMarker"/>
        <c:varyColors val="0"/>
        <c:ser>
          <c:idx val="0"/>
          <c:order val="0"/>
          <c:tx>
            <c:v>DN250PN10-25%-20mm</c:v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0.10599007521822226"/>
                  <c:y val="4.4491795072998646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PN10'!$A$13:$A$17</c:f>
              <c:numCache>
                <c:formatCode>0.00</c:formatCode>
                <c:ptCount val="5"/>
                <c:pt idx="0">
                  <c:v>1.2668153511655595</c:v>
                </c:pt>
                <c:pt idx="1">
                  <c:v>1.7236345948836405</c:v>
                </c:pt>
                <c:pt idx="2">
                  <c:v>2.0820465833562762</c:v>
                </c:pt>
                <c:pt idx="3">
                  <c:v>3.0952497046154579</c:v>
                </c:pt>
                <c:pt idx="4">
                  <c:v>4.7908141116206195</c:v>
                </c:pt>
              </c:numCache>
            </c:numRef>
          </c:xVal>
          <c:yVal>
            <c:numRef>
              <c:f>'DN250 PN10'!$N$13:$N$17</c:f>
              <c:numCache>
                <c:formatCode>0.0000</c:formatCode>
                <c:ptCount val="5"/>
                <c:pt idx="0">
                  <c:v>2.2753231721594482</c:v>
                </c:pt>
                <c:pt idx="1">
                  <c:v>2.12698143440887</c:v>
                </c:pt>
                <c:pt idx="2">
                  <c:v>1.8996577465363722</c:v>
                </c:pt>
                <c:pt idx="3">
                  <c:v>2.0560568796695713</c:v>
                </c:pt>
                <c:pt idx="4">
                  <c:v>1.7464546565103396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2A2-4981-A62B-5AC337B547E2}"/>
            </c:ext>
          </c:extLst>
        </c:ser>
        <c:ser>
          <c:idx val="1"/>
          <c:order val="1"/>
          <c:tx>
            <c:v>DN250PN10-25%-30mm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5.4672918087020662E-2"/>
                  <c:y val="-2.4285413130579973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PN10'!$O$13:$O$17</c:f>
              <c:numCache>
                <c:formatCode>0.0000</c:formatCode>
                <c:ptCount val="5"/>
                <c:pt idx="0">
                  <c:v>1.251644065165725</c:v>
                </c:pt>
                <c:pt idx="1">
                  <c:v>1.7164370998879286</c:v>
                </c:pt>
                <c:pt idx="2">
                  <c:v>2.0751540451164177</c:v>
                </c:pt>
                <c:pt idx="3">
                  <c:v>3.102142242855316</c:v>
                </c:pt>
                <c:pt idx="4">
                  <c:v>4.7701364969010438</c:v>
                </c:pt>
              </c:numCache>
            </c:numRef>
          </c:xVal>
          <c:yVal>
            <c:numRef>
              <c:f>'DN250 PN10'!$AB$13:$AB$17</c:f>
              <c:numCache>
                <c:formatCode>0.00</c:formatCode>
                <c:ptCount val="5"/>
                <c:pt idx="0">
                  <c:v>17.579088963736243</c:v>
                </c:pt>
                <c:pt idx="1">
                  <c:v>16.097459193407197</c:v>
                </c:pt>
                <c:pt idx="2">
                  <c:v>16.377573465334716</c:v>
                </c:pt>
                <c:pt idx="3">
                  <c:v>15.8953070099616</c:v>
                </c:pt>
                <c:pt idx="4">
                  <c:v>15.428862110916683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82A2-4981-A62B-5AC337B547E2}"/>
            </c:ext>
          </c:extLst>
        </c:ser>
        <c:ser>
          <c:idx val="2"/>
          <c:order val="2"/>
          <c:tx>
            <c:v>DN250PN10-25%-40mm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4.8668098412155275E-2"/>
                  <c:y val="-2.3712020332340822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PN10'!$AC$13:$AC$17</c:f>
              <c:numCache>
                <c:formatCode>0.00</c:formatCode>
                <c:ptCount val="5"/>
                <c:pt idx="0">
                  <c:v>1.2537128768929751</c:v>
                </c:pt>
                <c:pt idx="1">
                  <c:v>1.7164370998879286</c:v>
                </c:pt>
                <c:pt idx="2">
                  <c:v>2.0751540451164177</c:v>
                </c:pt>
                <c:pt idx="3">
                  <c:v>3.0676795516560245</c:v>
                </c:pt>
                <c:pt idx="4">
                  <c:v>4.7563514204213275</c:v>
                </c:pt>
              </c:numCache>
            </c:numRef>
          </c:xVal>
          <c:yVal>
            <c:numRef>
              <c:f>'DN250 PN10'!$AP$13:$AP$17</c:f>
              <c:numCache>
                <c:formatCode>0.000</c:formatCode>
                <c:ptCount val="5"/>
                <c:pt idx="0">
                  <c:v>45.54850804183922</c:v>
                </c:pt>
                <c:pt idx="1">
                  <c:v>40.622096123214085</c:v>
                </c:pt>
                <c:pt idx="2">
                  <c:v>43.019702027615665</c:v>
                </c:pt>
                <c:pt idx="3">
                  <c:v>41.133873638051035</c:v>
                </c:pt>
                <c:pt idx="4">
                  <c:v>36.749364344118476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82A2-4981-A62B-5AC337B547E2}"/>
            </c:ext>
          </c:extLst>
        </c:ser>
        <c:ser>
          <c:idx val="3"/>
          <c:order val="3"/>
          <c:tx>
            <c:v>DN250PN10-50%-20mm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39069876258329761"/>
                  <c:y val="-0.7470025550264695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PN10'!$A$23:$A$32</c:f>
              <c:numCache>
                <c:formatCode>0.00</c:formatCode>
                <c:ptCount val="10"/>
                <c:pt idx="0">
                  <c:v>0.61739921696188527</c:v>
                </c:pt>
                <c:pt idx="1">
                  <c:v>0.61967357018271285</c:v>
                </c:pt>
                <c:pt idx="2">
                  <c:v>1.2429105679325201</c:v>
                </c:pt>
                <c:pt idx="3">
                  <c:v>1.2444692910012269</c:v>
                </c:pt>
                <c:pt idx="4">
                  <c:v>1.878172129155018</c:v>
                </c:pt>
                <c:pt idx="5">
                  <c:v>1.8804607908315094</c:v>
                </c:pt>
                <c:pt idx="6">
                  <c:v>2.4962324382423628</c:v>
                </c:pt>
                <c:pt idx="7">
                  <c:v>2.5037951828519951</c:v>
                </c:pt>
                <c:pt idx="8">
                  <c:v>3.7229730688151226</c:v>
                </c:pt>
                <c:pt idx="9">
                  <c:v>3.7305606976954757</c:v>
                </c:pt>
              </c:numCache>
            </c:numRef>
          </c:xVal>
          <c:yVal>
            <c:numRef>
              <c:f>'DN250 PN10'!$N$23:$N$32</c:f>
              <c:numCache>
                <c:formatCode>0.000</c:formatCode>
                <c:ptCount val="10"/>
                <c:pt idx="0">
                  <c:v>168.92082873172714</c:v>
                </c:pt>
                <c:pt idx="1">
                  <c:v>164.71121343299043</c:v>
                </c:pt>
                <c:pt idx="2">
                  <c:v>39.125950174044014</c:v>
                </c:pt>
                <c:pt idx="3">
                  <c:v>38.517013216610174</c:v>
                </c:pt>
                <c:pt idx="4">
                  <c:v>23.595013899267009</c:v>
                </c:pt>
                <c:pt idx="5">
                  <c:v>17.966789103942755</c:v>
                </c:pt>
                <c:pt idx="6">
                  <c:v>13.820184951755072</c:v>
                </c:pt>
                <c:pt idx="7">
                  <c:v>13.187915248694916</c:v>
                </c:pt>
                <c:pt idx="8">
                  <c:v>13.15746997998429</c:v>
                </c:pt>
                <c:pt idx="9">
                  <c:v>12.862394491311104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82A2-4981-A62B-5AC337B547E2}"/>
            </c:ext>
          </c:extLst>
        </c:ser>
        <c:ser>
          <c:idx val="4"/>
          <c:order val="4"/>
          <c:tx>
            <c:v>DN250PN10-50%-30mm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5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22576030671908759"/>
                  <c:y val="-0.124003468968876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PN10'!$O$23:$O$32</c:f>
              <c:numCache>
                <c:formatCode>0.000</c:formatCode>
                <c:ptCount val="10"/>
                <c:pt idx="0">
                  <c:v>0.620109459658157</c:v>
                </c:pt>
                <c:pt idx="1">
                  <c:v>0.62261032886551015</c:v>
                </c:pt>
                <c:pt idx="2">
                  <c:v>1.2503903649730863</c:v>
                </c:pt>
                <c:pt idx="3">
                  <c:v>1.2482440966234922</c:v>
                </c:pt>
                <c:pt idx="4">
                  <c:v>1.8653304630040488</c:v>
                </c:pt>
                <c:pt idx="5">
                  <c:v>1.8537675718761868</c:v>
                </c:pt>
                <c:pt idx="6">
                  <c:v>2.4784816584621443</c:v>
                </c:pt>
                <c:pt idx="7">
                  <c:v>2.495295130711912</c:v>
                </c:pt>
                <c:pt idx="8">
                  <c:v>3.7534742724203372</c:v>
                </c:pt>
                <c:pt idx="9">
                  <c:v>3.7369317622295197</c:v>
                </c:pt>
              </c:numCache>
            </c:numRef>
          </c:xVal>
          <c:yVal>
            <c:numRef>
              <c:f>'DN250 PN10'!$AB$23:$AB$32</c:f>
              <c:numCache>
                <c:formatCode>0.0</c:formatCode>
                <c:ptCount val="10"/>
                <c:pt idx="0">
                  <c:v>104.07372823274676</c:v>
                </c:pt>
                <c:pt idx="1">
                  <c:v>133.17274216734489</c:v>
                </c:pt>
                <c:pt idx="2">
                  <c:v>51.739012857747198</c:v>
                </c:pt>
                <c:pt idx="3">
                  <c:v>45.488276401803361</c:v>
                </c:pt>
                <c:pt idx="4">
                  <c:v>46.763367392227096</c:v>
                </c:pt>
                <c:pt idx="5">
                  <c:v>47.141576840185323</c:v>
                </c:pt>
                <c:pt idx="6">
                  <c:v>43.09902918291651</c:v>
                </c:pt>
                <c:pt idx="7">
                  <c:v>42.212555934288439</c:v>
                </c:pt>
                <c:pt idx="8">
                  <c:v>42.473489203151374</c:v>
                </c:pt>
                <c:pt idx="9">
                  <c:v>43.119715617444612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82A2-4981-A62B-5AC337B547E2}"/>
            </c:ext>
          </c:extLst>
        </c:ser>
        <c:ser>
          <c:idx val="5"/>
          <c:order val="5"/>
          <c:tx>
            <c:v>DN250PN10-50%-40mm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2.5809139671701561E-2"/>
                  <c:y val="-3.7790975879353025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PN10'!$AC$23:$AC$32</c:f>
              <c:numCache>
                <c:formatCode>0.00</c:formatCode>
                <c:ptCount val="10"/>
                <c:pt idx="0">
                  <c:v>0.62093686165959472</c:v>
                </c:pt>
                <c:pt idx="1">
                  <c:v>0.62035719639776865</c:v>
                </c:pt>
                <c:pt idx="2">
                  <c:v>1.2546186173062479</c:v>
                </c:pt>
                <c:pt idx="3">
                  <c:v>1.2540372930930406</c:v>
                </c:pt>
                <c:pt idx="4">
                  <c:v>1.8530797982826772</c:v>
                </c:pt>
                <c:pt idx="5">
                  <c:v>1.8663679988471209</c:v>
                </c:pt>
                <c:pt idx="6">
                  <c:v>2.4997950363337664</c:v>
                </c:pt>
                <c:pt idx="7">
                  <c:v>2.5119834903783373</c:v>
                </c:pt>
                <c:pt idx="8">
                  <c:v>3.7769539643040768</c:v>
                </c:pt>
                <c:pt idx="9">
                  <c:v>3.7759959198813595</c:v>
                </c:pt>
              </c:numCache>
            </c:numRef>
          </c:xVal>
          <c:yVal>
            <c:numRef>
              <c:f>'DN250 PN10'!$AP$23:$AP$32</c:f>
              <c:numCache>
                <c:formatCode>0.000</c:formatCode>
                <c:ptCount val="10"/>
                <c:pt idx="0">
                  <c:v>92.295535813602086</c:v>
                </c:pt>
                <c:pt idx="1">
                  <c:v>91.724254512625706</c:v>
                </c:pt>
                <c:pt idx="2">
                  <c:v>65.607389243453397</c:v>
                </c:pt>
                <c:pt idx="3">
                  <c:v>66.099641051844273</c:v>
                </c:pt>
                <c:pt idx="4">
                  <c:v>85.148878445777441</c:v>
                </c:pt>
                <c:pt idx="5">
                  <c:v>84.212363595497152</c:v>
                </c:pt>
                <c:pt idx="6">
                  <c:v>85.942574126660745</c:v>
                </c:pt>
                <c:pt idx="7">
                  <c:v>85.101364356573697</c:v>
                </c:pt>
                <c:pt idx="8">
                  <c:v>84.865487222096888</c:v>
                </c:pt>
                <c:pt idx="9">
                  <c:v>85.094973461213698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82A2-4981-A62B-5AC337B547E2}"/>
            </c:ext>
          </c:extLst>
        </c:ser>
        <c:ser>
          <c:idx val="6"/>
          <c:order val="6"/>
          <c:tx>
            <c:v>DN250PN10-75%-20mm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>
                    <a:lumMod val="60000"/>
                  </a:schemeClr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840648102693636"/>
                  <c:y val="3.099248094089696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PN10'!$A$38:$A$47</c:f>
              <c:numCache>
                <c:formatCode>0.00</c:formatCode>
                <c:ptCount val="10"/>
                <c:pt idx="0">
                  <c:v>0.62310773778801198</c:v>
                </c:pt>
                <c:pt idx="1">
                  <c:v>0.62273004985686276</c:v>
                </c:pt>
                <c:pt idx="2">
                  <c:v>1.2330197615510892</c:v>
                </c:pt>
                <c:pt idx="3">
                  <c:v>1.232618157070859</c:v>
                </c:pt>
                <c:pt idx="4">
                  <c:v>1.8750429321119866</c:v>
                </c:pt>
                <c:pt idx="5">
                  <c:v>1.8660804472743575</c:v>
                </c:pt>
                <c:pt idx="6">
                  <c:v>2.4988577288033156</c:v>
                </c:pt>
                <c:pt idx="7">
                  <c:v>2.5004828099272753</c:v>
                </c:pt>
                <c:pt idx="8">
                  <c:v>3.7492239007354238</c:v>
                </c:pt>
                <c:pt idx="9">
                  <c:v>3.7325348498392557</c:v>
                </c:pt>
              </c:numCache>
            </c:numRef>
          </c:xVal>
          <c:yVal>
            <c:numRef>
              <c:f>'DN250 PN10'!$N$38:$N$47</c:f>
              <c:numCache>
                <c:formatCode>0.00</c:formatCode>
                <c:ptCount val="10"/>
                <c:pt idx="0">
                  <c:v>12.280941000168989</c:v>
                </c:pt>
                <c:pt idx="1">
                  <c:v>12.511266618593238</c:v>
                </c:pt>
                <c:pt idx="2">
                  <c:v>9.3066360072247303</c:v>
                </c:pt>
                <c:pt idx="3">
                  <c:v>9.8623787045369422</c:v>
                </c:pt>
                <c:pt idx="4">
                  <c:v>14.250387892656818</c:v>
                </c:pt>
                <c:pt idx="5">
                  <c:v>14.900316058578749</c:v>
                </c:pt>
                <c:pt idx="6">
                  <c:v>18.237725845650427</c:v>
                </c:pt>
                <c:pt idx="7">
                  <c:v>17.908467545107463</c:v>
                </c:pt>
                <c:pt idx="8">
                  <c:v>18.93702003298041</c:v>
                </c:pt>
                <c:pt idx="9">
                  <c:v>19.104347480679323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82A2-4981-A62B-5AC337B547E2}"/>
            </c:ext>
          </c:extLst>
        </c:ser>
        <c:ser>
          <c:idx val="7"/>
          <c:order val="7"/>
          <c:tx>
            <c:v>DN250PN10-75%-30mm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>
                    <a:lumMod val="60000"/>
                  </a:schemeClr>
                </a:solidFill>
                <a:prstDash val="sysDot"/>
              </a:ln>
              <a:effectLst/>
            </c:spPr>
            <c:trendlineType val="power"/>
            <c:dispRSqr val="0"/>
            <c:dispEq val="1"/>
            <c:trendlineLbl>
              <c:layout/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PN10'!$O$38:$O$47</c:f>
              <c:numCache>
                <c:formatCode>0.000</c:formatCode>
                <c:ptCount val="10"/>
                <c:pt idx="0">
                  <c:v>0.62442114342120481</c:v>
                </c:pt>
                <c:pt idx="1">
                  <c:v>0.62507649833980383</c:v>
                </c:pt>
                <c:pt idx="2">
                  <c:v>1.2423423770844149</c:v>
                </c:pt>
                <c:pt idx="3">
                  <c:v>1.244425743527467</c:v>
                </c:pt>
                <c:pt idx="4">
                  <c:v>1.8861440817720452</c:v>
                </c:pt>
                <c:pt idx="5">
                  <c:v>1.8847560924496667</c:v>
                </c:pt>
                <c:pt idx="6">
                  <c:v>2.4776065616084932</c:v>
                </c:pt>
                <c:pt idx="7">
                  <c:v>2.4966699866691879</c:v>
                </c:pt>
                <c:pt idx="8">
                  <c:v>3.7294733933109625</c:v>
                </c:pt>
                <c:pt idx="9">
                  <c:v>3.7397858498351471</c:v>
                </c:pt>
              </c:numCache>
            </c:numRef>
          </c:xVal>
          <c:yVal>
            <c:numRef>
              <c:f>'DN250 PN10'!$AB$38:$AB$47</c:f>
              <c:numCache>
                <c:formatCode>0.00</c:formatCode>
                <c:ptCount val="10"/>
                <c:pt idx="0">
                  <c:v>28.185432351969578</c:v>
                </c:pt>
                <c:pt idx="1">
                  <c:v>16.664276296627758</c:v>
                </c:pt>
                <c:pt idx="2">
                  <c:v>40.643590509599271</c:v>
                </c:pt>
                <c:pt idx="3">
                  <c:v>41.177262660161361</c:v>
                </c:pt>
                <c:pt idx="4">
                  <c:v>55.005304594795952</c:v>
                </c:pt>
                <c:pt idx="5">
                  <c:v>54.656808005574113</c:v>
                </c:pt>
                <c:pt idx="6">
                  <c:v>56.356207754880941</c:v>
                </c:pt>
                <c:pt idx="7">
                  <c:v>55.012707168960056</c:v>
                </c:pt>
                <c:pt idx="8">
                  <c:v>58.701725019409402</c:v>
                </c:pt>
                <c:pt idx="9">
                  <c:v>58.235103774951995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82A2-4981-A62B-5AC337B547E2}"/>
            </c:ext>
          </c:extLst>
        </c:ser>
        <c:ser>
          <c:idx val="8"/>
          <c:order val="8"/>
          <c:tx>
            <c:v>DN250PN10-75%-40mm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>
                    <a:lumMod val="60000"/>
                  </a:schemeClr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5.417846294842707E-2"/>
                  <c:y val="-7.7936364745567796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'DN250 PN10'!$AC$38:$AC$47</c:f>
              <c:numCache>
                <c:formatCode>0.0000</c:formatCode>
                <c:ptCount val="10"/>
                <c:pt idx="0">
                  <c:v>0.62203142395640054</c:v>
                </c:pt>
                <c:pt idx="1">
                  <c:v>0.62279226053366266</c:v>
                </c:pt>
                <c:pt idx="2">
                  <c:v>1.2566770994785803</c:v>
                </c:pt>
                <c:pt idx="3">
                  <c:v>1.2565277938542605</c:v>
                </c:pt>
                <c:pt idx="4">
                  <c:v>1.8638090663414215</c:v>
                </c:pt>
                <c:pt idx="5">
                  <c:v>1.8804559522233137</c:v>
                </c:pt>
                <c:pt idx="6">
                  <c:v>2.5002325847605915</c:v>
                </c:pt>
                <c:pt idx="7">
                  <c:v>2.4851070955413261</c:v>
                </c:pt>
                <c:pt idx="8">
                  <c:v>3.7472863837679804</c:v>
                </c:pt>
                <c:pt idx="9">
                  <c:v>3.7473485944447802</c:v>
                </c:pt>
              </c:numCache>
            </c:numRef>
          </c:xVal>
          <c:yVal>
            <c:numRef>
              <c:f>'DN250 PN10'!$AP$38:$AP$47</c:f>
              <c:numCache>
                <c:formatCode>0.000</c:formatCode>
                <c:ptCount val="10"/>
                <c:pt idx="0">
                  <c:v>145.12613354451989</c:v>
                </c:pt>
                <c:pt idx="1">
                  <c:v>146.86254526104725</c:v>
                </c:pt>
                <c:pt idx="2">
                  <c:v>90.880791081657279</c:v>
                </c:pt>
                <c:pt idx="3">
                  <c:v>91.391215749315208</c:v>
                </c:pt>
                <c:pt idx="4">
                  <c:v>100.11524459695084</c:v>
                </c:pt>
                <c:pt idx="5">
                  <c:v>99.545911711822555</c:v>
                </c:pt>
                <c:pt idx="6">
                  <c:v>99.515845288805096</c:v>
                </c:pt>
                <c:pt idx="7">
                  <c:v>100.62449419710171</c:v>
                </c:pt>
                <c:pt idx="8">
                  <c:v>103.39654622636289</c:v>
                </c:pt>
                <c:pt idx="9">
                  <c:v>104.04753428759426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82A2-4981-A62B-5AC337B547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828368"/>
        <c:axId val="131832112"/>
      </c:scatterChart>
      <c:valAx>
        <c:axId val="1318283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1"/>
                  <a:t>Velocity (m s</a:t>
                </a:r>
                <a:r>
                  <a:rPr lang="en-US" sz="1600" b="1" baseline="30000"/>
                  <a:t>-1</a:t>
                </a:r>
                <a:r>
                  <a:rPr lang="en-US" sz="1600" b="1"/>
                  <a:t>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32112"/>
        <c:crosses val="autoZero"/>
        <c:crossBetween val="midCat"/>
        <c:majorUnit val="0.5"/>
      </c:valAx>
      <c:valAx>
        <c:axId val="131832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sz="1600" b="1"/>
                  <a:t>Absolute</a:t>
                </a:r>
                <a:r>
                  <a:rPr lang="es-ES" sz="1600" b="1" baseline="0"/>
                  <a:t> roughness (mm)</a:t>
                </a:r>
                <a:endParaRPr lang="es-ES" sz="1600" b="1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283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ayout>
        <c:manualLayout>
          <c:xMode val="edge"/>
          <c:yMode val="edge"/>
          <c:x val="0.77745542488537567"/>
          <c:y val="3.2338235647174168E-2"/>
          <c:w val="0.18845607914377263"/>
          <c:h val="0.3853678116653780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458730136895617E-2"/>
          <c:y val="2.8286665484910743E-2"/>
          <c:w val="0.88512789419068405"/>
          <c:h val="0.84430996032786165"/>
        </c:manualLayout>
      </c:layout>
      <c:scatterChart>
        <c:scatterStyle val="lineMarker"/>
        <c:varyColors val="0"/>
        <c:ser>
          <c:idx val="9"/>
          <c:order val="0"/>
          <c:tx>
            <c:v>DN300PN10-25%-20mm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>
                    <a:lumMod val="60000"/>
                  </a:schemeClr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1340217375417938"/>
                  <c:y val="4.317350139261932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'DN300 PN10'!$A$12:$A$21</c:f>
              <c:numCache>
                <c:formatCode>0.00</c:formatCode>
                <c:ptCount val="10"/>
                <c:pt idx="0">
                  <c:v>1.1467633715938852</c:v>
                </c:pt>
                <c:pt idx="1">
                  <c:v>1.1436922869835719</c:v>
                </c:pt>
                <c:pt idx="2">
                  <c:v>1.5466592569765689</c:v>
                </c:pt>
                <c:pt idx="3">
                  <c:v>1.5464136747108357</c:v>
                </c:pt>
                <c:pt idx="4">
                  <c:v>2.3563657585765929</c:v>
                </c:pt>
                <c:pt idx="5">
                  <c:v>2.3554935931896006</c:v>
                </c:pt>
                <c:pt idx="6">
                  <c:v>3.0273430995216266</c:v>
                </c:pt>
                <c:pt idx="7">
                  <c:v>3.0305038826190698</c:v>
                </c:pt>
                <c:pt idx="8">
                  <c:v>3.9286496090924117</c:v>
                </c:pt>
                <c:pt idx="9">
                  <c:v>3.9421984349444616</c:v>
                </c:pt>
              </c:numCache>
            </c:numRef>
          </c:xVal>
          <c:yVal>
            <c:numRef>
              <c:f>'DN300 PN10'!$O$12:$O$21</c:f>
              <c:numCache>
                <c:formatCode>0.000</c:formatCode>
                <c:ptCount val="10"/>
                <c:pt idx="0">
                  <c:v>61.051139564728686</c:v>
                </c:pt>
                <c:pt idx="1">
                  <c:v>75.052437690457438</c:v>
                </c:pt>
                <c:pt idx="2">
                  <c:v>81.154828635701065</c:v>
                </c:pt>
                <c:pt idx="3">
                  <c:v>77.274979912152048</c:v>
                </c:pt>
                <c:pt idx="4">
                  <c:v>83.011234181277032</c:v>
                </c:pt>
                <c:pt idx="5">
                  <c:v>82.456792682793107</c:v>
                </c:pt>
                <c:pt idx="6">
                  <c:v>85.480582905331431</c:v>
                </c:pt>
                <c:pt idx="7">
                  <c:v>86.942649905791825</c:v>
                </c:pt>
                <c:pt idx="8">
                  <c:v>75.615061311021421</c:v>
                </c:pt>
                <c:pt idx="9">
                  <c:v>75.007214950353472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9-6464-4542-B81F-9224B7112983}"/>
            </c:ext>
          </c:extLst>
        </c:ser>
        <c:ser>
          <c:idx val="0"/>
          <c:order val="1"/>
          <c:tx>
            <c:v>DN300PN10-25%-30mm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0.11936830535038934"/>
                  <c:y val="5.7776682990903659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'DN300 PN10'!$P$12:$P$21</c:f>
              <c:numCache>
                <c:formatCode>0.000</c:formatCode>
                <c:ptCount val="10"/>
                <c:pt idx="0">
                  <c:v>1.1715741473057315</c:v>
                </c:pt>
                <c:pt idx="1">
                  <c:v>1.1709597562118492</c:v>
                </c:pt>
                <c:pt idx="2">
                  <c:v>1.5594216970628132</c:v>
                </c:pt>
                <c:pt idx="3">
                  <c:v>1.5633105183664726</c:v>
                </c:pt>
                <c:pt idx="4" formatCode="0.00">
                  <c:v>2.3629620808170064</c:v>
                </c:pt>
                <c:pt idx="5" formatCode="0.00">
                  <c:v>2.3657314127497431</c:v>
                </c:pt>
                <c:pt idx="6" formatCode="0.00">
                  <c:v>3.009803561851411</c:v>
                </c:pt>
                <c:pt idx="7" formatCode="0.00">
                  <c:v>3.0132734999287663</c:v>
                </c:pt>
                <c:pt idx="8" formatCode="0.00">
                  <c:v>3.9022273086190777</c:v>
                </c:pt>
                <c:pt idx="9" formatCode="0.00">
                  <c:v>3.89678052038848</c:v>
                </c:pt>
              </c:numCache>
            </c:numRef>
          </c:xVal>
          <c:yVal>
            <c:numRef>
              <c:f>'DN300 PN10'!$AD$12:$AD$21</c:f>
              <c:numCache>
                <c:formatCode>0.000</c:formatCode>
                <c:ptCount val="10"/>
                <c:pt idx="0">
                  <c:v>27.656545943897349</c:v>
                </c:pt>
                <c:pt idx="1">
                  <c:v>56.343204082800149</c:v>
                </c:pt>
                <c:pt idx="2">
                  <c:v>78.819635898406219</c:v>
                </c:pt>
                <c:pt idx="3">
                  <c:v>74.14070577695297</c:v>
                </c:pt>
                <c:pt idx="4">
                  <c:v>83.871130200679389</c:v>
                </c:pt>
                <c:pt idx="5">
                  <c:v>83.545528148111416</c:v>
                </c:pt>
                <c:pt idx="6">
                  <c:v>92.922508274606884</c:v>
                </c:pt>
                <c:pt idx="7">
                  <c:v>91.590059617599053</c:v>
                </c:pt>
                <c:pt idx="8">
                  <c:v>93.348105283493453</c:v>
                </c:pt>
                <c:pt idx="9">
                  <c:v>94.286380368660801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6464-4542-B81F-9224B7112983}"/>
            </c:ext>
          </c:extLst>
        </c:ser>
        <c:ser>
          <c:idx val="1"/>
          <c:order val="2"/>
          <c:tx>
            <c:v>DN300PN10-25%-40mm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31611147840904297"/>
                  <c:y val="-0.25717480965562556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'DN300 PN10'!$AE$12:$AE$21</c:f>
              <c:numCache>
                <c:formatCode>0.000</c:formatCode>
                <c:ptCount val="10"/>
                <c:pt idx="0">
                  <c:v>1.197951163105951</c:v>
                </c:pt>
                <c:pt idx="1">
                  <c:v>1.198965713955523</c:v>
                </c:pt>
                <c:pt idx="2">
                  <c:v>1.5587824864846282</c:v>
                </c:pt>
                <c:pt idx="3">
                  <c:v>1.5594351953788379</c:v>
                </c:pt>
                <c:pt idx="4" formatCode="0.00">
                  <c:v>2.3748157794341282</c:v>
                </c:pt>
                <c:pt idx="5" formatCode="0.00">
                  <c:v>2.3785691821479942</c:v>
                </c:pt>
                <c:pt idx="6" formatCode="0.00">
                  <c:v>3.0397232324636976</c:v>
                </c:pt>
                <c:pt idx="7" formatCode="0.00">
                  <c:v>3.0207219577969102</c:v>
                </c:pt>
                <c:pt idx="8" formatCode="0.00">
                  <c:v>3.9023213614016985</c:v>
                </c:pt>
                <c:pt idx="9" formatCode="0.00">
                  <c:v>3.9048333544708749</c:v>
                </c:pt>
              </c:numCache>
            </c:numRef>
          </c:xVal>
          <c:yVal>
            <c:numRef>
              <c:f>'DN300 PN10'!$AS$12:$AS$21</c:f>
              <c:numCache>
                <c:formatCode>0</c:formatCode>
                <c:ptCount val="10"/>
                <c:pt idx="0">
                  <c:v>202.38750136701645</c:v>
                </c:pt>
                <c:pt idx="1">
                  <c:v>257.82720125863619</c:v>
                </c:pt>
                <c:pt idx="2">
                  <c:v>209.31132162011983</c:v>
                </c:pt>
                <c:pt idx="3">
                  <c:v>208.39762070422225</c:v>
                </c:pt>
                <c:pt idx="4">
                  <c:v>160.92485847437149</c:v>
                </c:pt>
                <c:pt idx="5">
                  <c:v>160.99522122374532</c:v>
                </c:pt>
                <c:pt idx="6">
                  <c:v>115.09605228688564</c:v>
                </c:pt>
                <c:pt idx="7">
                  <c:v>117.79829852945791</c:v>
                </c:pt>
                <c:pt idx="8">
                  <c:v>117.84658932385796</c:v>
                </c:pt>
                <c:pt idx="9">
                  <c:v>116.92488570758155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6464-4542-B81F-9224B7112983}"/>
            </c:ext>
          </c:extLst>
        </c:ser>
        <c:ser>
          <c:idx val="2"/>
          <c:order val="3"/>
          <c:tx>
            <c:v>DN300PN10-50%-20mm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32886167206437006"/>
                  <c:y val="-7.9947432690065656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'DN300 PN10'!$A$27:$A$36</c:f>
              <c:numCache>
                <c:formatCode>0.0</c:formatCode>
                <c:ptCount val="10"/>
                <c:pt idx="0">
                  <c:v>1.1878957885269117</c:v>
                </c:pt>
                <c:pt idx="1">
                  <c:v>1.1927033661793247</c:v>
                </c:pt>
                <c:pt idx="2">
                  <c:v>1.5560623580909481</c:v>
                </c:pt>
                <c:pt idx="3">
                  <c:v>1.5590258916026156</c:v>
                </c:pt>
                <c:pt idx="4">
                  <c:v>2.3627278197195514</c:v>
                </c:pt>
                <c:pt idx="5">
                  <c:v>2.3679416531413424</c:v>
                </c:pt>
                <c:pt idx="6">
                  <c:v>2.9412695633889623</c:v>
                </c:pt>
                <c:pt idx="7">
                  <c:v>2.9335180465545942</c:v>
                </c:pt>
                <c:pt idx="8">
                  <c:v>3.9623335681572938</c:v>
                </c:pt>
                <c:pt idx="9">
                  <c:v>3.9701595434445704</c:v>
                </c:pt>
              </c:numCache>
            </c:numRef>
          </c:xVal>
          <c:yVal>
            <c:numRef>
              <c:f>'DN300 PN10'!$O$27:$O$36</c:f>
              <c:numCache>
                <c:formatCode>0.000</c:formatCode>
                <c:ptCount val="10"/>
                <c:pt idx="0">
                  <c:v>142.87534424103615</c:v>
                </c:pt>
                <c:pt idx="1">
                  <c:v>139.73650690878699</c:v>
                </c:pt>
                <c:pt idx="2">
                  <c:v>126.86877603066534</c:v>
                </c:pt>
                <c:pt idx="3">
                  <c:v>125.83142861392542</c:v>
                </c:pt>
                <c:pt idx="4">
                  <c:v>119.90773599147232</c:v>
                </c:pt>
                <c:pt idx="5">
                  <c:v>128.02631785822035</c:v>
                </c:pt>
                <c:pt idx="6">
                  <c:v>111.01038245524141</c:v>
                </c:pt>
                <c:pt idx="7">
                  <c:v>111.18607336792898</c:v>
                </c:pt>
                <c:pt idx="8">
                  <c:v>101.74300893534827</c:v>
                </c:pt>
                <c:pt idx="9">
                  <c:v>100.89615726269825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6464-4542-B81F-9224B7112983}"/>
            </c:ext>
          </c:extLst>
        </c:ser>
        <c:ser>
          <c:idx val="3"/>
          <c:order val="4"/>
          <c:tx>
            <c:v>DN300PN10-50%-30mm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-0.57790478691895875"/>
                  <c:y val="6.6865789251261146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'DN300 PN10'!$P$27:$P$36</c:f>
              <c:numCache>
                <c:formatCode>0.000</c:formatCode>
                <c:ptCount val="10"/>
                <c:pt idx="0">
                  <c:v>1.1820623388566485</c:v>
                </c:pt>
                <c:pt idx="1">
                  <c:v>1.1824803512238538</c:v>
                </c:pt>
                <c:pt idx="2">
                  <c:v>1.565109277834104</c:v>
                </c:pt>
                <c:pt idx="3">
                  <c:v>1.5634015231422496</c:v>
                </c:pt>
                <c:pt idx="4">
                  <c:v>2.3598130543173914</c:v>
                </c:pt>
                <c:pt idx="5">
                  <c:v>2.3644477664387824</c:v>
                </c:pt>
                <c:pt idx="6" formatCode="0.00">
                  <c:v>2.9318812668792549</c:v>
                </c:pt>
                <c:pt idx="7" formatCode="0.00">
                  <c:v>2.94643767670809</c:v>
                </c:pt>
                <c:pt idx="8" formatCode="0.00">
                  <c:v>3.9342688274244821</c:v>
                </c:pt>
                <c:pt idx="9" formatCode="0.00">
                  <c:v>3.9355045764850334</c:v>
                </c:pt>
              </c:numCache>
            </c:numRef>
          </c:xVal>
          <c:yVal>
            <c:numRef>
              <c:f>'DN300 PN10'!$AD$27:$AD$36</c:f>
              <c:numCache>
                <c:formatCode>0.000</c:formatCode>
                <c:ptCount val="10"/>
                <c:pt idx="0">
                  <c:v>119.16752028528208</c:v>
                </c:pt>
                <c:pt idx="1">
                  <c:v>114.99994914472418</c:v>
                </c:pt>
                <c:pt idx="2">
                  <c:v>114.40925652496695</c:v>
                </c:pt>
                <c:pt idx="3">
                  <c:v>116.21941079818417</c:v>
                </c:pt>
                <c:pt idx="4">
                  <c:v>112.79314753046076</c:v>
                </c:pt>
                <c:pt idx="5">
                  <c:v>113.46420696583033</c:v>
                </c:pt>
                <c:pt idx="6">
                  <c:v>118.1933630366479</c:v>
                </c:pt>
                <c:pt idx="7">
                  <c:v>117.69643493851699</c:v>
                </c:pt>
                <c:pt idx="8">
                  <c:v>117.28496803620082</c:v>
                </c:pt>
                <c:pt idx="9">
                  <c:v>117.67728998395953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E-6464-4542-B81F-9224B7112983}"/>
            </c:ext>
          </c:extLst>
        </c:ser>
        <c:ser>
          <c:idx val="4"/>
          <c:order val="5"/>
          <c:tx>
            <c:v>DN300PN10-50%-40mm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5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layout>
                <c:manualLayout>
                  <c:x val="9.6615953760008384E-3"/>
                  <c:y val="-3.649866328934416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'DN300 PN10'!$AE$27:$AE$36</c:f>
              <c:numCache>
                <c:formatCode>0.000</c:formatCode>
                <c:ptCount val="10"/>
                <c:pt idx="0">
                  <c:v>1.158836962133339</c:v>
                </c:pt>
                <c:pt idx="1">
                  <c:v>1.1585652540946554</c:v>
                </c:pt>
                <c:pt idx="2">
                  <c:v>1.5662257191981823</c:v>
                </c:pt>
                <c:pt idx="3">
                  <c:v>1.5616828827116658</c:v>
                </c:pt>
                <c:pt idx="4">
                  <c:v>2.3839441245029787</c:v>
                </c:pt>
                <c:pt idx="5">
                  <c:v>2.3806413913725062</c:v>
                </c:pt>
                <c:pt idx="6" formatCode="0.00">
                  <c:v>3.0336124141706113</c:v>
                </c:pt>
                <c:pt idx="7" formatCode="0.00">
                  <c:v>3.0394236569338671</c:v>
                </c:pt>
                <c:pt idx="8" formatCode="0.00">
                  <c:v>3.8640910824139065</c:v>
                </c:pt>
                <c:pt idx="9" formatCode="0.00">
                  <c:v>3.863697018671906</c:v>
                </c:pt>
              </c:numCache>
            </c:numRef>
          </c:xVal>
          <c:yVal>
            <c:numRef>
              <c:f>'DN300 PN10'!$AS$27:$AS$36</c:f>
              <c:numCache>
                <c:formatCode>0.000</c:formatCode>
                <c:ptCount val="10"/>
                <c:pt idx="0">
                  <c:v>137.85409785726415</c:v>
                </c:pt>
                <c:pt idx="1">
                  <c:v>139.12819343163616</c:v>
                </c:pt>
                <c:pt idx="2">
                  <c:v>144.92859964330876</c:v>
                </c:pt>
                <c:pt idx="3">
                  <c:v>146.91024782607781</c:v>
                </c:pt>
                <c:pt idx="4">
                  <c:v>142.75567163497638</c:v>
                </c:pt>
                <c:pt idx="5">
                  <c:v>143.43440669380698</c:v>
                </c:pt>
                <c:pt idx="6">
                  <c:v>145.46197596545949</c:v>
                </c:pt>
                <c:pt idx="7">
                  <c:v>146.39454417950532</c:v>
                </c:pt>
                <c:pt idx="8">
                  <c:v>144.93808165160468</c:v>
                </c:pt>
                <c:pt idx="9">
                  <c:v>144.69753502238805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F-6464-4542-B81F-9224B7112983}"/>
            </c:ext>
          </c:extLst>
        </c:ser>
        <c:ser>
          <c:idx val="5"/>
          <c:order val="6"/>
          <c:tx>
            <c:v>DN300PN10-75%-20mm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6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41423411789891063"/>
                  <c:y val="-0.1382447241120633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'DN300 PN10'!$A$42:$A$51</c:f>
              <c:numCache>
                <c:formatCode>0.00</c:formatCode>
                <c:ptCount val="10"/>
                <c:pt idx="0">
                  <c:v>0.78050137087792937</c:v>
                </c:pt>
                <c:pt idx="1">
                  <c:v>0.78107221901689439</c:v>
                </c:pt>
                <c:pt idx="2">
                  <c:v>1.1929676719156723</c:v>
                </c:pt>
                <c:pt idx="3">
                  <c:v>1.1918538431288892</c:v>
                </c:pt>
                <c:pt idx="4">
                  <c:v>1.5806375664166921</c:v>
                </c:pt>
                <c:pt idx="5">
                  <c:v>1.5836537869038096</c:v>
                </c:pt>
                <c:pt idx="6">
                  <c:v>2.3546244758094526</c:v>
                </c:pt>
                <c:pt idx="7">
                  <c:v>2.352907141667516</c:v>
                </c:pt>
                <c:pt idx="8">
                  <c:v>2.9181164679708154</c:v>
                </c:pt>
                <c:pt idx="9">
                  <c:v>2.9174750802448846</c:v>
                </c:pt>
              </c:numCache>
            </c:numRef>
          </c:xVal>
          <c:yVal>
            <c:numRef>
              <c:f>'DN300 PN10'!$O$42:$O$51</c:f>
              <c:numCache>
                <c:formatCode>0.00</c:formatCode>
                <c:ptCount val="10"/>
                <c:pt idx="0">
                  <c:v>115.13037910383663</c:v>
                </c:pt>
                <c:pt idx="1">
                  <c:v>151.27668503275757</c:v>
                </c:pt>
                <c:pt idx="2">
                  <c:v>196.34581480706072</c:v>
                </c:pt>
                <c:pt idx="3">
                  <c:v>180.41226477319472</c:v>
                </c:pt>
                <c:pt idx="4">
                  <c:v>111.37323033399861</c:v>
                </c:pt>
                <c:pt idx="5">
                  <c:v>109.51459695988382</c:v>
                </c:pt>
                <c:pt idx="6">
                  <c:v>97.464420789397352</c:v>
                </c:pt>
                <c:pt idx="7">
                  <c:v>98.562981503897532</c:v>
                </c:pt>
                <c:pt idx="8">
                  <c:v>94.926709551922585</c:v>
                </c:pt>
                <c:pt idx="9">
                  <c:v>94.595010837345413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0-6464-4542-B81F-9224B7112983}"/>
            </c:ext>
          </c:extLst>
        </c:ser>
        <c:ser>
          <c:idx val="6"/>
          <c:order val="7"/>
          <c:tx>
            <c:v>DN300PN10-75%-30mm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>
                    <a:lumMod val="60000"/>
                  </a:schemeClr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0.35262023610044801"/>
                  <c:y val="-0.1346478230312828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'DN300 PN10'!$P$42:$P$51</c:f>
              <c:numCache>
                <c:formatCode>0.00</c:formatCode>
                <c:ptCount val="10"/>
                <c:pt idx="0">
                  <c:v>0.782174726635399</c:v>
                </c:pt>
                <c:pt idx="1">
                  <c:v>0.78096379705915053</c:v>
                </c:pt>
                <c:pt idx="2">
                  <c:v>1.1742320092738803</c:v>
                </c:pt>
                <c:pt idx="3">
                  <c:v>1.175897962729014</c:v>
                </c:pt>
                <c:pt idx="4">
                  <c:v>1.5743643329017645</c:v>
                </c:pt>
                <c:pt idx="5">
                  <c:v>1.56883655477502</c:v>
                </c:pt>
                <c:pt idx="6">
                  <c:v>2.3634980945920376</c:v>
                </c:pt>
                <c:pt idx="7">
                  <c:v>2.3640101597418641</c:v>
                </c:pt>
                <c:pt idx="8">
                  <c:v>2.9472131767351661</c:v>
                </c:pt>
                <c:pt idx="9">
                  <c:v>2.9446271606426313</c:v>
                </c:pt>
              </c:numCache>
            </c:numRef>
          </c:xVal>
          <c:yVal>
            <c:numRef>
              <c:f>'DN300 PN10'!$AD$42:$AD$51</c:f>
              <c:numCache>
                <c:formatCode>0.000</c:formatCode>
                <c:ptCount val="10"/>
                <c:pt idx="0">
                  <c:v>130.37828210444093</c:v>
                </c:pt>
                <c:pt idx="1">
                  <c:v>134.1262896275814</c:v>
                </c:pt>
                <c:pt idx="2">
                  <c:v>197.69031998746419</c:v>
                </c:pt>
                <c:pt idx="3">
                  <c:v>190.1200435764919</c:v>
                </c:pt>
                <c:pt idx="4">
                  <c:v>148.98887227805747</c:v>
                </c:pt>
                <c:pt idx="5">
                  <c:v>148.74855597743499</c:v>
                </c:pt>
                <c:pt idx="6">
                  <c:v>125.90500096601538</c:v>
                </c:pt>
                <c:pt idx="7">
                  <c:v>127.46274051144499</c:v>
                </c:pt>
                <c:pt idx="8">
                  <c:v>125.38661637248794</c:v>
                </c:pt>
                <c:pt idx="9">
                  <c:v>125.64748504195781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1-6464-4542-B81F-9224B7112983}"/>
            </c:ext>
          </c:extLst>
        </c:ser>
        <c:ser>
          <c:idx val="7"/>
          <c:order val="8"/>
          <c:tx>
            <c:v>DN300PN10-75%-40mm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>
                    <a:lumMod val="60000"/>
                  </a:schemeClr>
                </a:solidFill>
                <a:prstDash val="sysDot"/>
              </a:ln>
              <a:effectLst/>
            </c:spPr>
            <c:trendlineType val="exp"/>
            <c:dispRSqr val="1"/>
            <c:dispEq val="1"/>
            <c:trendlineLbl>
              <c:layout>
                <c:manualLayout>
                  <c:x val="-0.30558864341541797"/>
                  <c:y val="-0.37821544769858517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'DN300 PN10'!$AE$44:$AE$51</c:f>
              <c:numCache>
                <c:formatCode>0.000</c:formatCode>
                <c:ptCount val="8"/>
                <c:pt idx="0">
                  <c:v>0.78990011769681667</c:v>
                </c:pt>
                <c:pt idx="1">
                  <c:v>0.78872794135044433</c:v>
                </c:pt>
                <c:pt idx="2">
                  <c:v>1.185210059067616</c:v>
                </c:pt>
                <c:pt idx="3">
                  <c:v>1.1917933184215543</c:v>
                </c:pt>
                <c:pt idx="4">
                  <c:v>1.5742611360986105</c:v>
                </c:pt>
                <c:pt idx="5">
                  <c:v>1.5755186566366206</c:v>
                </c:pt>
                <c:pt idx="6" formatCode="0.00">
                  <c:v>2.3562852041099958</c:v>
                </c:pt>
                <c:pt idx="7" formatCode="0.00">
                  <c:v>2.3588128726429418</c:v>
                </c:pt>
              </c:numCache>
            </c:numRef>
          </c:xVal>
          <c:yVal>
            <c:numRef>
              <c:f>'DN300 PN10'!$AS$44:$AS$51</c:f>
              <c:numCache>
                <c:formatCode>0.00</c:formatCode>
                <c:ptCount val="8"/>
                <c:pt idx="0">
                  <c:v>311.56670163163415</c:v>
                </c:pt>
                <c:pt idx="1">
                  <c:v>311.36278742835492</c:v>
                </c:pt>
                <c:pt idx="2">
                  <c:v>231.47877377612025</c:v>
                </c:pt>
                <c:pt idx="3">
                  <c:v>227.12091114387903</c:v>
                </c:pt>
                <c:pt idx="4">
                  <c:v>188.81643241725075</c:v>
                </c:pt>
                <c:pt idx="5">
                  <c:v>185.91356797892411</c:v>
                </c:pt>
                <c:pt idx="6">
                  <c:v>157.46624685802402</c:v>
                </c:pt>
                <c:pt idx="7">
                  <c:v>157.66639696886708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12-6464-4542-B81F-9224B71129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828368"/>
        <c:axId val="131832112"/>
      </c:scatterChart>
      <c:valAx>
        <c:axId val="1318283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1"/>
                  <a:t>Velocity (m s</a:t>
                </a:r>
                <a:r>
                  <a:rPr lang="en-US" sz="1600" b="1" baseline="30000"/>
                  <a:t>-1</a:t>
                </a:r>
                <a:r>
                  <a:rPr lang="en-US" sz="1600" b="1"/>
                  <a:t>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.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32112"/>
        <c:crosses val="autoZero"/>
        <c:crossBetween val="midCat"/>
        <c:majorUnit val="0.5"/>
      </c:valAx>
      <c:valAx>
        <c:axId val="131832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sz="1600" b="1"/>
                  <a:t>Absolute</a:t>
                </a:r>
                <a:r>
                  <a:rPr lang="es-ES" sz="1600" b="1" baseline="0"/>
                  <a:t> roughness (mm)</a:t>
                </a:r>
                <a:endParaRPr lang="es-ES" sz="1600" b="1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283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egendEntry>
        <c:idx val="12"/>
        <c:delete val="1"/>
      </c:legendEntry>
      <c:legendEntry>
        <c:idx val="13"/>
        <c:delete val="1"/>
      </c:legendEntry>
      <c:legendEntry>
        <c:idx val="14"/>
        <c:delete val="1"/>
      </c:legendEntry>
      <c:legendEntry>
        <c:idx val="15"/>
        <c:delete val="1"/>
      </c:legendEntry>
      <c:legendEntry>
        <c:idx val="16"/>
        <c:delete val="1"/>
      </c:legendEntry>
      <c:legendEntry>
        <c:idx val="17"/>
        <c:delete val="1"/>
      </c:legendEntry>
      <c:layout>
        <c:manualLayout>
          <c:xMode val="edge"/>
          <c:yMode val="edge"/>
          <c:x val="0.78146297249965402"/>
          <c:y val="3.6644354720155703E-2"/>
          <c:w val="0.18845607914377263"/>
          <c:h val="0.38536781166537804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9.458730136895617E-2"/>
          <c:y val="2.8286665484910743E-2"/>
          <c:w val="0.85915142857879778"/>
          <c:h val="0.84430996032786165"/>
        </c:manualLayout>
      </c:layout>
      <c:scatterChart>
        <c:scatterStyle val="lineMarker"/>
        <c:varyColors val="0"/>
        <c:ser>
          <c:idx val="9"/>
          <c:order val="0"/>
          <c:tx>
            <c:v>DN200-50%-20mm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>
                    <a:lumMod val="60000"/>
                  </a:schemeClr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8.9931835904084517E-2"/>
                  <c:y val="1.2802593373243357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PN16'!$C$11:$C$15</c:f>
              <c:numCache>
                <c:formatCode>General</c:formatCode>
                <c:ptCount val="5"/>
                <c:pt idx="0">
                  <c:v>2.5562031604978839</c:v>
                </c:pt>
                <c:pt idx="1">
                  <c:v>4.8903132535256226</c:v>
                </c:pt>
                <c:pt idx="2">
                  <c:v>8.4785131029531478</c:v>
                </c:pt>
                <c:pt idx="3">
                  <c:v>12.287148438010977</c:v>
                </c:pt>
                <c:pt idx="4">
                  <c:v>16.830568725170171</c:v>
                </c:pt>
              </c:numCache>
            </c:numRef>
          </c:xVal>
          <c:yVal>
            <c:numRef>
              <c:f>'DN200 PN16'!$AL$11:$AL$15</c:f>
              <c:numCache>
                <c:formatCode>General</c:formatCode>
                <c:ptCount val="5"/>
                <c:pt idx="0">
                  <c:v>6.3799348519865404</c:v>
                </c:pt>
                <c:pt idx="1">
                  <c:v>1.1417873403659762</c:v>
                </c:pt>
                <c:pt idx="2">
                  <c:v>0.35435478907650031</c:v>
                </c:pt>
                <c:pt idx="3">
                  <c:v>0.44662939342144559</c:v>
                </c:pt>
                <c:pt idx="4">
                  <c:v>0.40569395808312264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A-FAFD-448E-89F3-AF3AA79EC636}"/>
            </c:ext>
          </c:extLst>
        </c:ser>
        <c:ser>
          <c:idx val="0"/>
          <c:order val="1"/>
          <c:tx>
            <c:v>DN200-50%-30mm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9.15815600580836E-2"/>
                  <c:y val="5.9470386983407949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PN16'!$C$19:$C$23</c:f>
              <c:numCache>
                <c:formatCode>General</c:formatCode>
                <c:ptCount val="5"/>
                <c:pt idx="0">
                  <c:v>2.5318676127592057</c:v>
                </c:pt>
                <c:pt idx="1">
                  <c:v>4.8780668376572685</c:v>
                </c:pt>
                <c:pt idx="2">
                  <c:v>8.5152523505581961</c:v>
                </c:pt>
                <c:pt idx="3">
                  <c:v>12.23816277453756</c:v>
                </c:pt>
                <c:pt idx="4">
                  <c:v>16.548901160198035</c:v>
                </c:pt>
              </c:numCache>
            </c:numRef>
          </c:xVal>
          <c:yVal>
            <c:numRef>
              <c:f>'DN200 PN16'!$AL$19:$AL$23</c:f>
              <c:numCache>
                <c:formatCode>General</c:formatCode>
                <c:ptCount val="5"/>
                <c:pt idx="0">
                  <c:v>19.525317976327738</c:v>
                </c:pt>
                <c:pt idx="1">
                  <c:v>9.0846005020336431</c:v>
                </c:pt>
                <c:pt idx="2">
                  <c:v>8.9085940465924978</c:v>
                </c:pt>
                <c:pt idx="3">
                  <c:v>8.7382122073897222</c:v>
                </c:pt>
                <c:pt idx="4">
                  <c:v>8.400260112938005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B-FAFD-448E-89F3-AF3AA79EC636}"/>
            </c:ext>
          </c:extLst>
        </c:ser>
        <c:ser>
          <c:idx val="1"/>
          <c:order val="2"/>
          <c:tx>
            <c:v>DN200-50%-40mm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0.12652076389181438"/>
                  <c:y val="4.6802138868599153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PN16'!$C$27:$C$31</c:f>
              <c:numCache>
                <c:formatCode>General</c:formatCode>
                <c:ptCount val="5"/>
                <c:pt idx="0">
                  <c:v>1.8261367283377756</c:v>
                </c:pt>
                <c:pt idx="1">
                  <c:v>4.8413275900522068</c:v>
                </c:pt>
                <c:pt idx="2">
                  <c:v>8.5397451822949026</c:v>
                </c:pt>
                <c:pt idx="3">
                  <c:v>12.213669942800854</c:v>
                </c:pt>
                <c:pt idx="4">
                  <c:v>15.152809751205723</c:v>
                </c:pt>
              </c:numCache>
            </c:numRef>
          </c:xVal>
          <c:yVal>
            <c:numRef>
              <c:f>'DN200 PN16'!$AL$27:$AL$31</c:f>
              <c:numCache>
                <c:formatCode>General</c:formatCode>
                <c:ptCount val="5"/>
                <c:pt idx="0">
                  <c:v>41.719624567316814</c:v>
                </c:pt>
                <c:pt idx="1">
                  <c:v>23.745435730634266</c:v>
                </c:pt>
                <c:pt idx="2">
                  <c:v>23.271607775379415</c:v>
                </c:pt>
                <c:pt idx="3">
                  <c:v>22.307468996974478</c:v>
                </c:pt>
                <c:pt idx="4">
                  <c:v>22.540918121160811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C-FAFD-448E-89F3-AF3AA79EC636}"/>
            </c:ext>
          </c:extLst>
        </c:ser>
        <c:ser>
          <c:idx val="2"/>
          <c:order val="3"/>
          <c:tx>
            <c:v>DN200-Sin tornillos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-0.55008118048504528"/>
                  <c:y val="2.360826040813991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PN16'!$C$35:$C$39</c:f>
              <c:numCache>
                <c:formatCode>General</c:formatCode>
                <c:ptCount val="5"/>
                <c:pt idx="0">
                  <c:v>2.9942430197939442</c:v>
                </c:pt>
                <c:pt idx="1">
                  <c:v>4.8168347583154958</c:v>
                </c:pt>
                <c:pt idx="2">
                  <c:v>8.576484429899967</c:v>
                </c:pt>
                <c:pt idx="3">
                  <c:v>11.02576760357063</c:v>
                </c:pt>
                <c:pt idx="4">
                  <c:v>13.695486262871656</c:v>
                </c:pt>
              </c:numCache>
            </c:numRef>
          </c:xVal>
          <c:yVal>
            <c:numRef>
              <c:f>'DN200 PN16'!$AL$35:$AL$39</c:f>
              <c:numCache>
                <c:formatCode>General</c:formatCode>
                <c:ptCount val="5"/>
                <c:pt idx="0">
                  <c:v>2.3814048106801284E-2</c:v>
                </c:pt>
                <c:pt idx="1">
                  <c:v>1.5113320981034066E-2</c:v>
                </c:pt>
                <c:pt idx="2">
                  <c:v>1.2757851700286713E-2</c:v>
                </c:pt>
                <c:pt idx="3">
                  <c:v>1.0763882008980406E-2</c:v>
                </c:pt>
                <c:pt idx="4">
                  <c:v>9.2143049587271493E-3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D-FAFD-448E-89F3-AF3AA79EC636}"/>
            </c:ext>
          </c:extLst>
        </c:ser>
        <c:ser>
          <c:idx val="3"/>
          <c:order val="4"/>
          <c:tx>
            <c:v>DN200-100%-30mm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0.10964867785640532"/>
                  <c:y val="3.8550676116767572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PN16'!$C$51:$C$55</c:f>
              <c:numCache>
                <c:formatCode>General</c:formatCode>
                <c:ptCount val="5"/>
                <c:pt idx="0">
                  <c:v>1.2189648122579491</c:v>
                </c:pt>
                <c:pt idx="1">
                  <c:v>3.0185785675326198</c:v>
                </c:pt>
                <c:pt idx="2">
                  <c:v>6.1149548403609479</c:v>
                </c:pt>
                <c:pt idx="3">
                  <c:v>9.1398195598442182</c:v>
                </c:pt>
                <c:pt idx="4">
                  <c:v>12.23816277453756</c:v>
                </c:pt>
              </c:numCache>
            </c:numRef>
          </c:xVal>
          <c:yVal>
            <c:numRef>
              <c:f>'DN200 PN16'!$AL$51:$AL$55</c:f>
              <c:numCache>
                <c:formatCode>General</c:formatCode>
                <c:ptCount val="5"/>
                <c:pt idx="0">
                  <c:v>78.630605340630979</c:v>
                </c:pt>
                <c:pt idx="1">
                  <c:v>51.26975948327869</c:v>
                </c:pt>
                <c:pt idx="2">
                  <c:v>49.525175655241171</c:v>
                </c:pt>
                <c:pt idx="3">
                  <c:v>48.672650064879306</c:v>
                </c:pt>
                <c:pt idx="4">
                  <c:v>46.715593258809463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E-FAFD-448E-89F3-AF3AA79EC636}"/>
            </c:ext>
          </c:extLst>
        </c:ser>
        <c:ser>
          <c:idx val="4"/>
          <c:order val="5"/>
          <c:tx>
            <c:v>DN200-100%-40mm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5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9.7897496365469946E-2"/>
                  <c:y val="7.1732475014577362E-3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PN16'!$C$59:$C$63</c:f>
              <c:numCache>
                <c:formatCode>General</c:formatCode>
                <c:ptCount val="5"/>
                <c:pt idx="0">
                  <c:v>0.72982030271067821</c:v>
                </c:pt>
                <c:pt idx="1">
                  <c:v>2.5805387082365496</c:v>
                </c:pt>
                <c:pt idx="2">
                  <c:v>4.9025596693939635</c:v>
                </c:pt>
                <c:pt idx="3">
                  <c:v>6.6905363861735552</c:v>
                </c:pt>
                <c:pt idx="4">
                  <c:v>8.4662666870847954</c:v>
                </c:pt>
              </c:numCache>
            </c:numRef>
          </c:xVal>
          <c:yVal>
            <c:numRef>
              <c:f>'DN200 PN16'!$AL$59:$AL$63</c:f>
              <c:numCache>
                <c:formatCode>General</c:formatCode>
                <c:ptCount val="5"/>
                <c:pt idx="0">
                  <c:v>145.10660809537853</c:v>
                </c:pt>
                <c:pt idx="1">
                  <c:v>116.90104703336232</c:v>
                </c:pt>
                <c:pt idx="2">
                  <c:v>111.45633375363828</c:v>
                </c:pt>
                <c:pt idx="3">
                  <c:v>110.35366880076714</c:v>
                </c:pt>
                <c:pt idx="4">
                  <c:v>109.36747929840442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F-FAFD-448E-89F3-AF3AA79EC6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828368"/>
        <c:axId val="131832112"/>
      </c:scatterChart>
      <c:valAx>
        <c:axId val="1318283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600" b="1"/>
                  <a:t>Velocity (m s</a:t>
                </a:r>
                <a:r>
                  <a:rPr lang="en-US" sz="1600" b="1" baseline="30000"/>
                  <a:t>-1</a:t>
                </a:r>
                <a:r>
                  <a:rPr lang="en-US" sz="1600" b="1"/>
                  <a:t>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32112"/>
        <c:crosses val="autoZero"/>
        <c:crossBetween val="midCat"/>
        <c:majorUnit val="1"/>
      </c:valAx>
      <c:valAx>
        <c:axId val="131832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1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s-ES" sz="1600" b="1"/>
                  <a:t>Absolute</a:t>
                </a:r>
                <a:r>
                  <a:rPr lang="es-ES" sz="1600" b="1" baseline="0"/>
                  <a:t> roughness (mm)</a:t>
                </a:r>
                <a:endParaRPr lang="es-ES" sz="1600" b="1"/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1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</c:title>
        <c:numFmt formatCode="0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131828368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egendEntry>
        <c:idx val="6"/>
        <c:delete val="1"/>
      </c:legendEntry>
      <c:legendEntry>
        <c:idx val="7"/>
        <c:delete val="1"/>
      </c:legendEntry>
      <c:legendEntry>
        <c:idx val="8"/>
        <c:delete val="1"/>
      </c:legendEntry>
      <c:legendEntry>
        <c:idx val="9"/>
        <c:delete val="1"/>
      </c:legendEntry>
      <c:legendEntry>
        <c:idx val="10"/>
        <c:delete val="1"/>
      </c:legendEntry>
      <c:legendEntry>
        <c:idx val="11"/>
        <c:delete val="1"/>
      </c:legendEntry>
      <c:layout>
        <c:manualLayout>
          <c:xMode val="edge"/>
          <c:yMode val="edge"/>
          <c:x val="0.78735914315362876"/>
          <c:y val="3.5861962137987216E-2"/>
          <c:w val="0.16112531584517548"/>
          <c:h val="0.25691187444358538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8575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layout>
                <c:manualLayout>
                  <c:x val="7.3360371049509224E-2"/>
                  <c:y val="3.123700078030786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PN16'!$I$11:$I$15</c:f>
              <c:numCache>
                <c:formatCode>General</c:formatCode>
                <c:ptCount val="5"/>
                <c:pt idx="0">
                  <c:v>1.2062020866778485</c:v>
                </c:pt>
                <c:pt idx="1">
                  <c:v>2.3385271335404174</c:v>
                </c:pt>
                <c:pt idx="2">
                  <c:v>5.0065636531296001</c:v>
                </c:pt>
                <c:pt idx="3">
                  <c:v>11.185953246028772</c:v>
                </c:pt>
                <c:pt idx="4">
                  <c:v>20.436001589638838</c:v>
                </c:pt>
              </c:numCache>
            </c:numRef>
          </c:xVal>
          <c:yVal>
            <c:numRef>
              <c:f>'DN200 PN16'!$J$11:$J$15</c:f>
              <c:numCache>
                <c:formatCode>General</c:formatCode>
                <c:ptCount val="5"/>
                <c:pt idx="0">
                  <c:v>6.3620506185438161</c:v>
                </c:pt>
                <c:pt idx="1">
                  <c:v>1.1285373588793213</c:v>
                </c:pt>
                <c:pt idx="2">
                  <c:v>0.34520757025085186</c:v>
                </c:pt>
                <c:pt idx="3">
                  <c:v>0.44052199219326077</c:v>
                </c:pt>
                <c:pt idx="4">
                  <c:v>0.40117310514006593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404-41F3-8A90-75404C749255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PN16'!$I$19:$I$23</c:f>
              <c:numCache>
                <c:formatCode>General</c:formatCode>
                <c:ptCount val="5"/>
                <c:pt idx="0">
                  <c:v>2.066489295552405</c:v>
                </c:pt>
                <c:pt idx="1">
                  <c:v>5.1516792562134235</c:v>
                </c:pt>
                <c:pt idx="2">
                  <c:v>15.550439626516667</c:v>
                </c:pt>
                <c:pt idx="3">
                  <c:v>31.827598303219393</c:v>
                </c:pt>
                <c:pt idx="4">
                  <c:v>57.136155879382919</c:v>
                </c:pt>
              </c:numCache>
            </c:numRef>
          </c:xVal>
          <c:yVal>
            <c:numRef>
              <c:f>'DN200 PN16'!$J$19:$J$23</c:f>
              <c:numCache>
                <c:formatCode>General</c:formatCode>
                <c:ptCount val="5"/>
                <c:pt idx="0">
                  <c:v>19.512334367158797</c:v>
                </c:pt>
                <c:pt idx="1">
                  <c:v>9.0760491115794117</c:v>
                </c:pt>
                <c:pt idx="2">
                  <c:v>8.9036690863900976</c:v>
                </c:pt>
                <c:pt idx="3">
                  <c:v>8.7347674848651966</c:v>
                </c:pt>
                <c:pt idx="4">
                  <c:v>8.3976855979456264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404-41F3-8A90-75404C749255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3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PN16'!$I$27:$I$31</c:f>
              <c:numCache>
                <c:formatCode>General</c:formatCode>
                <c:ptCount val="5"/>
                <c:pt idx="0">
                  <c:v>1.7600947386971961</c:v>
                </c:pt>
                <c:pt idx="1">
                  <c:v>8.48135671016054</c:v>
                </c:pt>
                <c:pt idx="2">
                  <c:v>26.063834621718033</c:v>
                </c:pt>
                <c:pt idx="3">
                  <c:v>51.96916144687286</c:v>
                </c:pt>
                <c:pt idx="4">
                  <c:v>80.488908194006171</c:v>
                </c:pt>
              </c:numCache>
            </c:numRef>
          </c:xVal>
          <c:yVal>
            <c:numRef>
              <c:f>'DN200 PN16'!$J$27:$J$31</c:f>
              <c:numCache>
                <c:formatCode>General</c:formatCode>
                <c:ptCount val="5"/>
                <c:pt idx="0">
                  <c:v>41.706647853917083</c:v>
                </c:pt>
                <c:pt idx="1">
                  <c:v>23.739123812149234</c:v>
                </c:pt>
                <c:pt idx="2">
                  <c:v>23.268001339306391</c:v>
                </c:pt>
                <c:pt idx="3">
                  <c:v>22.304906255453194</c:v>
                </c:pt>
                <c:pt idx="4">
                  <c:v>22.53886061244663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404-41F3-8A90-75404C749255}"/>
            </c:ext>
          </c:extLst>
        </c:ser>
        <c:ser>
          <c:idx val="3"/>
          <c:order val="3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PN16'!$I$51:$I$55</c:f>
              <c:numCache>
                <c:formatCode>General</c:formatCode>
                <c:ptCount val="5"/>
                <c:pt idx="0">
                  <c:v>1.3345672773669226</c:v>
                </c:pt>
                <c:pt idx="1">
                  <c:v>5.6301589382084583</c:v>
                </c:pt>
                <c:pt idx="2">
                  <c:v>22.476097944122312</c:v>
                </c:pt>
                <c:pt idx="3">
                  <c:v>49.53054581739309</c:v>
                </c:pt>
                <c:pt idx="4">
                  <c:v>86.021948196487998</c:v>
                </c:pt>
              </c:numCache>
            </c:numRef>
          </c:xVal>
          <c:yVal>
            <c:numRef>
              <c:f>'DN200 PN16'!$J$51:$J$55</c:f>
              <c:numCache>
                <c:formatCode>General</c:formatCode>
                <c:ptCount val="5"/>
                <c:pt idx="0">
                  <c:v>78.617960978162628</c:v>
                </c:pt>
                <c:pt idx="1">
                  <c:v>51.262772834985881</c:v>
                </c:pt>
                <c:pt idx="2">
                  <c:v>49.521654331223559</c:v>
                </c:pt>
                <c:pt idx="3">
                  <c:v>48.670269917767541</c:v>
                </c:pt>
                <c:pt idx="4">
                  <c:v>46.713773113564095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F404-41F3-8A90-75404C749255}"/>
            </c:ext>
          </c:extLst>
        </c:ser>
        <c:ser>
          <c:idx val="4"/>
          <c:order val="4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5"/>
                </a:solidFill>
                <a:prstDash val="sysDot"/>
              </a:ln>
              <a:effectLst/>
            </c:spPr>
            <c:trendlineType val="power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s-ES"/>
                </a:p>
              </c:txPr>
            </c:trendlineLbl>
          </c:trendline>
          <c:xVal>
            <c:numRef>
              <c:f>'DN200 PN16'!$I$59:$I$63</c:f>
              <c:numCache>
                <c:formatCode>General</c:formatCode>
                <c:ptCount val="5"/>
                <c:pt idx="0">
                  <c:v>0.96095624323764184</c:v>
                </c:pt>
                <c:pt idx="1">
                  <c:v>9.1235867674656905</c:v>
                </c:pt>
                <c:pt idx="2">
                  <c:v>31.137469670234474</c:v>
                </c:pt>
                <c:pt idx="3">
                  <c:v>57.328312098936273</c:v>
                </c:pt>
                <c:pt idx="4">
                  <c:v>90.856573339617682</c:v>
                </c:pt>
              </c:numCache>
            </c:numRef>
          </c:xVal>
          <c:yVal>
            <c:numRef>
              <c:f>'DN200 PN16'!$J$59:$J$63</c:f>
              <c:numCache>
                <c:formatCode>General</c:formatCode>
                <c:ptCount val="5"/>
                <c:pt idx="0">
                  <c:v>145.09821482622135</c:v>
                </c:pt>
                <c:pt idx="1">
                  <c:v>116.8973137256047</c:v>
                </c:pt>
                <c:pt idx="2">
                  <c:v>111.4542190816031</c:v>
                </c:pt>
                <c:pt idx="3">
                  <c:v>110.35209663454609</c:v>
                </c:pt>
                <c:pt idx="4">
                  <c:v>109.3662207979549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F404-41F3-8A90-75404C74925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32894048"/>
        <c:axId val="732895296"/>
      </c:scatterChart>
      <c:valAx>
        <c:axId val="73289404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732895296"/>
        <c:crosses val="autoZero"/>
        <c:crossBetween val="midCat"/>
      </c:valAx>
      <c:valAx>
        <c:axId val="732895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73289404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tabSelected="1" zoomScale="104" workbookViewId="0" zoomToFit="1"/>
  </sheetViews>
  <pageMargins left="0.7" right="0.7" top="0.75" bottom="0.75" header="0.3" footer="0.3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zoomScale="104" workbookViewId="0" zoomToFit="1"/>
  </sheetViews>
  <pageMargins left="0.7" right="0.7" top="0.75" bottom="0.75" header="0.3" footer="0.3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>
  <sheetPr/>
  <sheetViews>
    <sheetView zoomScale="104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eg"/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jpe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absoluteAnchor>
    <xdr:pos x="0" y="0"/>
    <xdr:ext cx="9305192" cy="6081346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9305192" cy="6081346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9305192" cy="6081346"/>
    <xdr:graphicFrame macro="">
      <xdr:nvGraphicFramePr>
        <xdr:cNvPr id="2" name="Gráfico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171450</xdr:colOff>
      <xdr:row>68</xdr:row>
      <xdr:rowOff>57150</xdr:rowOff>
    </xdr:from>
    <xdr:to>
      <xdr:col>27</xdr:col>
      <xdr:colOff>66675</xdr:colOff>
      <xdr:row>90</xdr:row>
      <xdr:rowOff>19050</xdr:rowOff>
    </xdr:to>
    <xdr:graphicFrame macro="">
      <xdr:nvGraphicFramePr>
        <xdr:cNvPr id="2" name="Gráfico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29</xdr:col>
      <xdr:colOff>16934</xdr:colOff>
      <xdr:row>1</xdr:row>
      <xdr:rowOff>0</xdr:rowOff>
    </xdr:from>
    <xdr:to>
      <xdr:col>31</xdr:col>
      <xdr:colOff>51858</xdr:colOff>
      <xdr:row>4</xdr:row>
      <xdr:rowOff>57150</xdr:rowOff>
    </xdr:to>
    <xdr:pic>
      <xdr:nvPicPr>
        <xdr:cNvPr id="7" name="Imagen 6" descr="https://www.lifeder.com/wp-content/uploads/2019/06/rugosidad2.jp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029334" y="323850"/>
          <a:ext cx="1930399" cy="542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247650</xdr:colOff>
      <xdr:row>0</xdr:row>
      <xdr:rowOff>28574</xdr:rowOff>
    </xdr:from>
    <xdr:to>
      <xdr:col>11</xdr:col>
      <xdr:colOff>428625</xdr:colOff>
      <xdr:row>43</xdr:row>
      <xdr:rowOff>47624</xdr:rowOff>
    </xdr:to>
    <xdr:pic>
      <xdr:nvPicPr>
        <xdr:cNvPr id="3" name="Imagen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4642" t="7501" r="21944" b="5359"/>
        <a:stretch/>
      </xdr:blipFill>
      <xdr:spPr>
        <a:xfrm>
          <a:off x="247650" y="28574"/>
          <a:ext cx="8562975" cy="896302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14</xdr:col>
      <xdr:colOff>3483830</xdr:colOff>
      <xdr:row>6</xdr:row>
      <xdr:rowOff>114300</xdr:rowOff>
    </xdr:to>
    <xdr:pic>
      <xdr:nvPicPr>
        <xdr:cNvPr id="7" name="Imagen 6" descr="https://victoryepes.blogs.upv.es/files/2022/12/Hazen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68000" y="190500"/>
          <a:ext cx="3483830" cy="1066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533400</xdr:colOff>
      <xdr:row>14</xdr:row>
      <xdr:rowOff>85725</xdr:rowOff>
    </xdr:from>
    <xdr:to>
      <xdr:col>14</xdr:col>
      <xdr:colOff>2971800</xdr:colOff>
      <xdr:row>18</xdr:row>
      <xdr:rowOff>9525</xdr:rowOff>
    </xdr:to>
    <xdr:pic>
      <xdr:nvPicPr>
        <xdr:cNvPr id="8" name="Imagen 7" descr="https://www.lifeder.com/wp-content/uploads/2019/06/rugosidad2.jp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201400" y="3505200"/>
          <a:ext cx="2438400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28575</xdr:colOff>
      <xdr:row>44</xdr:row>
      <xdr:rowOff>66675</xdr:rowOff>
    </xdr:from>
    <xdr:to>
      <xdr:col>12</xdr:col>
      <xdr:colOff>76200</xdr:colOff>
      <xdr:row>96</xdr:row>
      <xdr:rowOff>66675</xdr:rowOff>
    </xdr:to>
    <xdr:pic>
      <xdr:nvPicPr>
        <xdr:cNvPr id="4" name="Imagen 3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4642" r="20225" b="3692"/>
        <a:stretch/>
      </xdr:blipFill>
      <xdr:spPr>
        <a:xfrm>
          <a:off x="28575" y="9201150"/>
          <a:ext cx="9191625" cy="9906000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23</xdr:row>
      <xdr:rowOff>0</xdr:rowOff>
    </xdr:from>
    <xdr:to>
      <xdr:col>14</xdr:col>
      <xdr:colOff>304800</xdr:colOff>
      <xdr:row>24</xdr:row>
      <xdr:rowOff>114300</xdr:rowOff>
    </xdr:to>
    <xdr:sp macro="" textlink="">
      <xdr:nvSpPr>
        <xdr:cNvPr id="4100" name="AutoShape 4" descr="{\displaystyle h_{f}=f\cdot {\frac {L}{D}}\cdot {\frac {v^{2}}{2g}}}"/>
        <xdr:cNvSpPr>
          <a:spLocks noChangeAspect="1" noChangeArrowheads="1"/>
        </xdr:cNvSpPr>
      </xdr:nvSpPr>
      <xdr:spPr bwMode="auto">
        <a:xfrm>
          <a:off x="10668000" y="513397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D50"/>
  <sheetViews>
    <sheetView zoomScale="85" zoomScaleNormal="85" workbookViewId="0">
      <selection activeCell="U13" sqref="U13:U17"/>
    </sheetView>
  </sheetViews>
  <sheetFormatPr baseColWidth="10" defaultRowHeight="12.75" x14ac:dyDescent="0.2"/>
  <cols>
    <col min="1" max="5" width="11.42578125" style="1"/>
    <col min="6" max="6" width="12.7109375" style="1" bestFit="1" customWidth="1"/>
    <col min="7" max="9" width="11.42578125" style="1"/>
    <col min="10" max="10" width="20.140625" style="1" customWidth="1"/>
    <col min="11" max="13" width="11.42578125" style="1"/>
    <col min="14" max="14" width="15.140625" style="1" customWidth="1"/>
    <col min="15" max="40" width="11.42578125" style="1"/>
    <col min="41" max="41" width="11.85546875" style="1" bestFit="1" customWidth="1"/>
    <col min="42" max="43" width="11.42578125" style="1"/>
    <col min="44" max="44" width="31.5703125" style="1" customWidth="1"/>
    <col min="45" max="45" width="11.7109375" style="1" bestFit="1" customWidth="1"/>
    <col min="46" max="46" width="11.42578125" style="1"/>
    <col min="47" max="47" width="14.5703125" style="1" customWidth="1"/>
    <col min="48" max="48" width="11.7109375" style="1" bestFit="1" customWidth="1"/>
    <col min="49" max="49" width="12.28515625" style="1" bestFit="1" customWidth="1"/>
    <col min="50" max="50" width="11.42578125" style="1"/>
    <col min="51" max="51" width="12.28515625" style="1" bestFit="1" customWidth="1"/>
    <col min="52" max="16384" width="11.42578125" style="1"/>
  </cols>
  <sheetData>
    <row r="1" spans="1:56" x14ac:dyDescent="0.2">
      <c r="AR1" s="1" t="s">
        <v>0</v>
      </c>
      <c r="AS1" s="1" t="s">
        <v>1</v>
      </c>
      <c r="AT1" s="1" t="s">
        <v>2</v>
      </c>
      <c r="AU1" s="1" t="s">
        <v>3</v>
      </c>
      <c r="AV1" s="1" t="s">
        <v>4</v>
      </c>
      <c r="AW1" s="1" t="s">
        <v>5</v>
      </c>
    </row>
    <row r="2" spans="1:56" ht="15" x14ac:dyDescent="0.25">
      <c r="B2" s="58" t="s">
        <v>6</v>
      </c>
      <c r="C2" s="58"/>
      <c r="D2" s="58"/>
      <c r="E2" s="36"/>
      <c r="F2" s="36" t="s">
        <v>118</v>
      </c>
      <c r="G2" s="36"/>
      <c r="H2" s="36"/>
      <c r="I2" s="36"/>
      <c r="J2" s="36"/>
      <c r="K2" s="36"/>
      <c r="L2" s="36"/>
      <c r="M2" s="36"/>
      <c r="N2" s="36"/>
      <c r="O2" s="36"/>
      <c r="Q2" s="2" t="s">
        <v>7</v>
      </c>
      <c r="W2" s="1">
        <f>60*0.65</f>
        <v>39</v>
      </c>
      <c r="AR2" s="1">
        <f>AV2*AS2</f>
        <v>4.4204630803944323E-2</v>
      </c>
      <c r="AS2" s="1">
        <v>1.1000000000000001</v>
      </c>
      <c r="AT2" s="1">
        <v>9.8066499999999994</v>
      </c>
      <c r="AU2" s="1">
        <v>0.22620000000000001</v>
      </c>
      <c r="AV2" s="1">
        <f>PI()*AU2*AU2/4</f>
        <v>4.0186028003585741E-2</v>
      </c>
      <c r="AW2" s="1">
        <v>1.003E-6</v>
      </c>
    </row>
    <row r="3" spans="1:56" ht="15" x14ac:dyDescent="0.25">
      <c r="A3" s="1" t="s">
        <v>103</v>
      </c>
      <c r="B3" s="3" t="s">
        <v>8</v>
      </c>
      <c r="C3" s="4" t="s">
        <v>9</v>
      </c>
      <c r="D3" s="3" t="s">
        <v>10</v>
      </c>
      <c r="E3" s="37" t="s">
        <v>105</v>
      </c>
      <c r="F3" s="37" t="s">
        <v>123</v>
      </c>
      <c r="G3" s="37"/>
      <c r="H3" s="37"/>
      <c r="I3" s="37"/>
      <c r="J3" s="37"/>
      <c r="K3" s="37"/>
      <c r="L3" s="37"/>
      <c r="M3" s="37"/>
      <c r="N3" s="37"/>
      <c r="O3" s="37"/>
      <c r="Q3" s="2" t="s">
        <v>11</v>
      </c>
      <c r="T3" s="1" t="s">
        <v>123</v>
      </c>
    </row>
    <row r="4" spans="1:56" x14ac:dyDescent="0.2">
      <c r="A4" s="1">
        <f>(B4/3600)/(PI()*(R$5/1000/2)^2)</f>
        <v>1.2447480260748909</v>
      </c>
      <c r="B4" s="5">
        <v>180.07732451971304</v>
      </c>
      <c r="C4" s="5">
        <v>1.9373307270665555E-2</v>
      </c>
      <c r="D4" s="5">
        <v>12928.869280652392</v>
      </c>
      <c r="E4" s="53">
        <f>(C4/$AT$2)*($R$5/1000)*2*$AT$2/((A4^2)*$AS$2)</f>
        <v>5.1424583777043651E-3</v>
      </c>
      <c r="F4" s="54">
        <f>((3.7^2)/(10^(1/E4^0.5)))^0.5*$R$5</f>
        <v>8.9177874782473554E-5</v>
      </c>
      <c r="G4" s="53"/>
      <c r="H4" s="16"/>
      <c r="I4" s="16"/>
      <c r="J4" s="16"/>
      <c r="K4" s="16"/>
      <c r="L4" s="16"/>
      <c r="M4" s="16"/>
      <c r="N4" s="16"/>
      <c r="O4" s="16"/>
      <c r="P4" s="1" t="s">
        <v>12</v>
      </c>
      <c r="Q4" s="1" t="s">
        <v>13</v>
      </c>
      <c r="R4" s="1" t="s">
        <v>14</v>
      </c>
      <c r="S4" s="1" t="s">
        <v>15</v>
      </c>
      <c r="T4" s="1">
        <f>((3.7^2)/10^(1/V13))^0.5*$R$5</f>
        <v>17.604050985161773</v>
      </c>
    </row>
    <row r="5" spans="1:56" ht="15" x14ac:dyDescent="0.25">
      <c r="A5" s="1">
        <f t="shared" ref="A5:A9" si="0">(B5/3600)/(PI()*(R$5/1000/2)^2)</f>
        <v>1.730527133123499</v>
      </c>
      <c r="B5" s="5">
        <v>250.35484259759707</v>
      </c>
      <c r="C5" s="5">
        <v>2.935002152981548E-2</v>
      </c>
      <c r="D5" s="5">
        <v>14603.440398887562</v>
      </c>
      <c r="E5" s="53">
        <f t="shared" ref="E5:E9" si="1">(C5/$AT$2)*($R$5/1000)*2*$AT$2/((A5^2)*$AS$2)</f>
        <v>4.0307095950435409E-3</v>
      </c>
      <c r="F5" s="54">
        <f t="shared" ref="F5:F9" si="2">((3.7^2)/(10^(1/E5^0.5)))^0.5*$R$5</f>
        <v>1.1147413860723222E-5</v>
      </c>
      <c r="G5" s="53"/>
      <c r="H5" s="16"/>
      <c r="I5" s="16"/>
      <c r="J5" s="16"/>
      <c r="K5" s="16"/>
      <c r="L5" s="16"/>
      <c r="M5" s="16"/>
      <c r="N5" s="16"/>
      <c r="O5" s="16"/>
      <c r="P5" s="1">
        <v>10</v>
      </c>
      <c r="Q5" s="1">
        <v>250</v>
      </c>
      <c r="R5" s="6">
        <v>226.2</v>
      </c>
      <c r="S5" s="1">
        <v>26</v>
      </c>
      <c r="T5" s="6">
        <f t="shared" ref="T5:T8" si="3">((3.7^2)/10^(1/V14))^0.5*$R$5</f>
        <v>16.116078038496909</v>
      </c>
      <c r="U5" s="6"/>
      <c r="V5" s="6"/>
      <c r="W5" s="6"/>
      <c r="X5" s="6"/>
      <c r="Y5" s="6"/>
      <c r="Z5" s="6"/>
      <c r="AA5" s="6"/>
      <c r="AB5" s="6"/>
      <c r="AC5" s="6"/>
      <c r="AR5"/>
      <c r="AS5"/>
      <c r="AT5"/>
      <c r="AU5"/>
      <c r="AV5"/>
      <c r="AW5"/>
      <c r="AX5"/>
      <c r="AY5"/>
      <c r="AZ5" t="s">
        <v>16</v>
      </c>
      <c r="BA5" t="s">
        <v>17</v>
      </c>
      <c r="BB5"/>
      <c r="BC5"/>
      <c r="BD5"/>
    </row>
    <row r="6" spans="1:56" ht="15" x14ac:dyDescent="0.25">
      <c r="A6" s="1">
        <f t="shared" si="0"/>
        <v>2.0820465833562762</v>
      </c>
      <c r="B6" s="5">
        <v>301.20905629269106</v>
      </c>
      <c r="C6" s="5">
        <v>2.935002152981548E-2</v>
      </c>
      <c r="D6" s="5">
        <v>17569.815928208856</v>
      </c>
      <c r="E6" s="53">
        <f t="shared" si="1"/>
        <v>2.7845655832371432E-3</v>
      </c>
      <c r="F6" s="54">
        <f t="shared" si="2"/>
        <v>2.8017617638793125E-7</v>
      </c>
      <c r="G6" s="53"/>
      <c r="H6" s="16"/>
      <c r="I6" s="16"/>
      <c r="J6" s="16"/>
      <c r="K6" s="16"/>
      <c r="L6" s="16"/>
      <c r="M6" s="16"/>
      <c r="N6" s="16"/>
      <c r="O6" s="16"/>
      <c r="P6" s="1">
        <v>10</v>
      </c>
      <c r="Q6" s="1">
        <v>300</v>
      </c>
      <c r="R6" s="6">
        <v>285</v>
      </c>
      <c r="S6" s="1">
        <v>32</v>
      </c>
      <c r="T6" s="6">
        <f t="shared" si="3"/>
        <v>16.392907401384051</v>
      </c>
      <c r="U6" s="6"/>
      <c r="V6" s="6"/>
      <c r="W6" s="6"/>
      <c r="X6" s="6"/>
      <c r="Y6" s="6"/>
      <c r="Z6" s="6"/>
      <c r="AA6" s="6"/>
      <c r="AB6" s="6"/>
      <c r="AC6" s="6"/>
      <c r="AR6"/>
      <c r="AS6"/>
      <c r="AT6"/>
      <c r="AU6"/>
      <c r="AV6"/>
      <c r="AW6"/>
      <c r="AX6"/>
      <c r="AY6"/>
      <c r="AZ6"/>
      <c r="BA6" t="s">
        <v>18</v>
      </c>
      <c r="BB6"/>
      <c r="BC6"/>
      <c r="BD6"/>
    </row>
    <row r="7" spans="1:56" ht="15" x14ac:dyDescent="0.25">
      <c r="A7" s="1">
        <f t="shared" si="0"/>
        <v>2.7437302543826805</v>
      </c>
      <c r="B7" s="5">
        <v>396.93463501286806</v>
      </c>
      <c r="C7" s="5">
        <v>5.9280164307265258E-2</v>
      </c>
      <c r="D7" s="5">
        <v>16291.74839485054</v>
      </c>
      <c r="E7" s="53">
        <f t="shared" si="1"/>
        <v>3.2385938402762675E-3</v>
      </c>
      <c r="F7" s="54">
        <f t="shared" si="2"/>
        <v>1.3698813152578445E-6</v>
      </c>
      <c r="G7" s="53"/>
      <c r="H7" s="16"/>
      <c r="I7" s="16"/>
      <c r="J7" s="16"/>
      <c r="K7" s="16"/>
      <c r="L7" s="16"/>
      <c r="M7" s="16"/>
      <c r="N7" s="16"/>
      <c r="O7" s="16"/>
      <c r="P7" s="1">
        <v>16</v>
      </c>
      <c r="Q7" s="1">
        <v>200</v>
      </c>
      <c r="R7" s="1">
        <v>170.4</v>
      </c>
      <c r="S7" s="1">
        <v>21</v>
      </c>
      <c r="T7" s="1">
        <f t="shared" si="3"/>
        <v>15.905643227562066</v>
      </c>
      <c r="AR7"/>
      <c r="AS7"/>
      <c r="AT7"/>
      <c r="AU7"/>
      <c r="AV7"/>
      <c r="AW7" t="s">
        <v>19</v>
      </c>
      <c r="AX7" t="s">
        <v>20</v>
      </c>
      <c r="AY7" t="s">
        <v>21</v>
      </c>
      <c r="AZ7"/>
      <c r="BA7"/>
    </row>
    <row r="8" spans="1:56" ht="15" x14ac:dyDescent="0.25">
      <c r="A8" s="1">
        <f t="shared" si="0"/>
        <v>3.1297123958147495</v>
      </c>
      <c r="B8" s="5">
        <v>452.77455593297128</v>
      </c>
      <c r="C8" s="5">
        <v>4.930345004811533E-2</v>
      </c>
      <c r="D8" s="5">
        <v>20377.305491159943</v>
      </c>
      <c r="E8" s="53">
        <f t="shared" si="1"/>
        <v>2.0701335388731688E-3</v>
      </c>
      <c r="F8" s="54">
        <f t="shared" si="2"/>
        <v>8.5777667248819494E-9</v>
      </c>
      <c r="G8" s="53"/>
      <c r="H8" s="16"/>
      <c r="I8" s="16"/>
      <c r="J8" s="16"/>
      <c r="K8" s="16"/>
      <c r="L8" s="16"/>
      <c r="M8" s="16"/>
      <c r="N8" s="16"/>
      <c r="O8" s="16"/>
      <c r="R8" s="1" t="s">
        <v>22</v>
      </c>
      <c r="T8" s="1">
        <f t="shared" si="3"/>
        <v>15.43563489442136</v>
      </c>
      <c r="AR8" t="s">
        <v>23</v>
      </c>
      <c r="AS8"/>
      <c r="AT8"/>
      <c r="AU8" t="s">
        <v>24</v>
      </c>
      <c r="AV8" t="s">
        <v>25</v>
      </c>
      <c r="AW8" t="s">
        <v>26</v>
      </c>
      <c r="AX8"/>
      <c r="AY8"/>
      <c r="AZ8"/>
      <c r="BA8"/>
    </row>
    <row r="9" spans="1:56" ht="15" x14ac:dyDescent="0.25">
      <c r="A9" s="1">
        <f t="shared" si="0"/>
        <v>4.7563514204213275</v>
      </c>
      <c r="B9" s="5">
        <v>688.09993695340643</v>
      </c>
      <c r="C9" s="5">
        <v>5.9280164307265258E-2</v>
      </c>
      <c r="D9" s="5">
        <v>28242.310079577692</v>
      </c>
      <c r="E9" s="53">
        <f t="shared" si="1"/>
        <v>1.07768401299117E-3</v>
      </c>
      <c r="F9" s="54">
        <f t="shared" si="2"/>
        <v>4.9185750713091722E-13</v>
      </c>
      <c r="G9" s="16"/>
      <c r="H9" s="16"/>
      <c r="I9" s="16"/>
      <c r="J9" s="16"/>
      <c r="K9" s="16"/>
      <c r="L9" s="16"/>
      <c r="M9" s="16"/>
      <c r="N9" s="16"/>
      <c r="O9" s="16"/>
      <c r="AR9" t="s">
        <v>27</v>
      </c>
      <c r="AS9">
        <v>540</v>
      </c>
      <c r="AT9"/>
      <c r="AU9">
        <v>25</v>
      </c>
      <c r="AV9">
        <v>40</v>
      </c>
      <c r="AW9" s="7">
        <f>AS$9*AU9/100*AS$16*AV9</f>
        <v>271433.60527015809</v>
      </c>
      <c r="AX9" s="8">
        <f>(AW9/(1000)^3)/AR$2*100</f>
        <v>0.61403884691180011</v>
      </c>
      <c r="AY9" s="9">
        <f>(AS$10*AU9/100*AS$12/1000)/(2*PI()*AU$2/2)*100</f>
        <v>7.3174686479032331</v>
      </c>
      <c r="AZ9"/>
      <c r="BA9"/>
    </row>
    <row r="10" spans="1:56" ht="15" x14ac:dyDescent="0.25">
      <c r="B10" s="56">
        <v>0.25</v>
      </c>
      <c r="C10" s="57"/>
      <c r="D10" s="57"/>
      <c r="E10" s="57"/>
      <c r="F10" s="57"/>
      <c r="G10" s="57"/>
      <c r="H10" s="57"/>
      <c r="I10" s="57"/>
      <c r="J10" s="57"/>
      <c r="K10" s="57"/>
      <c r="L10" s="57"/>
      <c r="M10" s="57"/>
      <c r="N10" s="57"/>
      <c r="O10" s="57"/>
      <c r="P10" s="57"/>
      <c r="Q10" s="57"/>
      <c r="R10" s="57"/>
      <c r="S10" s="57"/>
      <c r="T10" s="57"/>
      <c r="U10" s="57"/>
      <c r="V10" s="57"/>
      <c r="W10" s="57"/>
      <c r="X10" s="57"/>
      <c r="Y10" s="57"/>
      <c r="Z10" s="57"/>
      <c r="AA10" s="57"/>
      <c r="AB10" s="57"/>
      <c r="AC10" s="57"/>
      <c r="AD10" s="57"/>
      <c r="AE10" s="57"/>
      <c r="AF10" s="57"/>
      <c r="AR10" t="s">
        <v>28</v>
      </c>
      <c r="AS10">
        <v>26</v>
      </c>
      <c r="AT10"/>
      <c r="AU10" s="10">
        <v>25</v>
      </c>
      <c r="AV10">
        <v>30</v>
      </c>
      <c r="AW10" s="7">
        <f t="shared" ref="AW10:AW17" si="4">AS$9*AU10/100*AS$16*AV10</f>
        <v>203575.20395261858</v>
      </c>
      <c r="AX10" s="8">
        <f t="shared" ref="AX10:AX17" si="5">(AW10/(1000)^3)/AR$2*100</f>
        <v>0.46052913518385002</v>
      </c>
      <c r="AY10" s="9">
        <f t="shared" ref="AY10:AY17" si="6">(AS$10*AU10/100*AS$12/1000)/(2*PI()*AU$2/2)*100</f>
        <v>7.3174686479032331</v>
      </c>
      <c r="AZ10"/>
      <c r="BA10"/>
    </row>
    <row r="11" spans="1:56" ht="15" x14ac:dyDescent="0.25">
      <c r="B11" s="58" t="s">
        <v>29</v>
      </c>
      <c r="C11" s="58"/>
      <c r="D11" s="58"/>
      <c r="E11" s="42"/>
      <c r="F11" s="42"/>
      <c r="G11" s="42" t="s">
        <v>123</v>
      </c>
      <c r="H11" s="42"/>
      <c r="I11" s="42"/>
      <c r="J11" s="42"/>
      <c r="K11" s="42"/>
      <c r="L11" s="42"/>
      <c r="M11" s="42"/>
      <c r="N11" s="42" t="s">
        <v>124</v>
      </c>
      <c r="O11" s="42"/>
      <c r="P11" s="58" t="s">
        <v>30</v>
      </c>
      <c r="Q11" s="58"/>
      <c r="R11" s="58"/>
      <c r="S11" s="42"/>
      <c r="T11" s="42"/>
      <c r="U11" s="42" t="s">
        <v>123</v>
      </c>
      <c r="V11" s="42"/>
      <c r="W11" s="42"/>
      <c r="X11" s="42"/>
      <c r="Y11" s="42"/>
      <c r="Z11" s="42"/>
      <c r="AA11" s="42"/>
      <c r="AB11" s="42"/>
      <c r="AC11" s="42"/>
      <c r="AD11" s="58" t="s">
        <v>31</v>
      </c>
      <c r="AE11" s="58"/>
      <c r="AF11" s="58"/>
      <c r="AI11" s="1" t="s">
        <v>123</v>
      </c>
      <c r="AR11" t="s">
        <v>32</v>
      </c>
      <c r="AS11"/>
      <c r="AT11"/>
      <c r="AU11">
        <v>25</v>
      </c>
      <c r="AV11">
        <v>20</v>
      </c>
      <c r="AW11" s="7">
        <f t="shared" si="4"/>
        <v>135716.80263507905</v>
      </c>
      <c r="AX11" s="8">
        <f t="shared" si="5"/>
        <v>0.30701942345590005</v>
      </c>
      <c r="AY11" s="9">
        <f t="shared" si="6"/>
        <v>7.3174686479032331</v>
      </c>
      <c r="AZ11"/>
      <c r="BA11"/>
    </row>
    <row r="12" spans="1:56" ht="15" x14ac:dyDescent="0.25">
      <c r="A12" s="39" t="s">
        <v>103</v>
      </c>
      <c r="B12" s="3" t="s">
        <v>8</v>
      </c>
      <c r="C12" s="4" t="s">
        <v>9</v>
      </c>
      <c r="D12" s="3" t="s">
        <v>10</v>
      </c>
      <c r="E12" s="3" t="s">
        <v>104</v>
      </c>
      <c r="F12" s="3" t="s">
        <v>105</v>
      </c>
      <c r="G12" s="3" t="s">
        <v>125</v>
      </c>
      <c r="H12" s="3" t="s">
        <v>111</v>
      </c>
      <c r="I12" s="3" t="s">
        <v>112</v>
      </c>
      <c r="J12" s="3" t="s">
        <v>113</v>
      </c>
      <c r="K12" s="3" t="s">
        <v>115</v>
      </c>
      <c r="L12" s="3" t="s">
        <v>114</v>
      </c>
      <c r="M12" s="3" t="s">
        <v>116</v>
      </c>
      <c r="N12" s="48" t="s">
        <v>118</v>
      </c>
      <c r="O12" s="3" t="s">
        <v>103</v>
      </c>
      <c r="P12" s="3" t="s">
        <v>8</v>
      </c>
      <c r="Q12" s="4" t="s">
        <v>9</v>
      </c>
      <c r="R12" s="3" t="s">
        <v>10</v>
      </c>
      <c r="S12" s="3" t="s">
        <v>104</v>
      </c>
      <c r="T12" s="3" t="s">
        <v>105</v>
      </c>
      <c r="U12" s="3" t="s">
        <v>125</v>
      </c>
      <c r="V12" s="3" t="s">
        <v>111</v>
      </c>
      <c r="W12" s="3" t="s">
        <v>112</v>
      </c>
      <c r="X12" s="3" t="s">
        <v>113</v>
      </c>
      <c r="Y12" s="3" t="s">
        <v>115</v>
      </c>
      <c r="Z12" s="3" t="s">
        <v>114</v>
      </c>
      <c r="AA12" s="3" t="s">
        <v>116</v>
      </c>
      <c r="AB12" s="3" t="s">
        <v>118</v>
      </c>
      <c r="AC12" s="3" t="s">
        <v>103</v>
      </c>
      <c r="AD12" s="3" t="s">
        <v>8</v>
      </c>
      <c r="AE12" s="4" t="s">
        <v>9</v>
      </c>
      <c r="AF12" s="3" t="s">
        <v>10</v>
      </c>
      <c r="AG12" s="46" t="s">
        <v>104</v>
      </c>
      <c r="AH12" s="46" t="s">
        <v>105</v>
      </c>
      <c r="AI12" s="46" t="s">
        <v>125</v>
      </c>
      <c r="AJ12" s="21" t="s">
        <v>111</v>
      </c>
      <c r="AK12" s="21" t="s">
        <v>112</v>
      </c>
      <c r="AL12" s="21" t="s">
        <v>113</v>
      </c>
      <c r="AM12" s="21" t="s">
        <v>115</v>
      </c>
      <c r="AN12" s="21" t="s">
        <v>114</v>
      </c>
      <c r="AO12" s="21" t="s">
        <v>116</v>
      </c>
      <c r="AP12" s="21" t="s">
        <v>118</v>
      </c>
      <c r="AR12" t="s">
        <v>33</v>
      </c>
      <c r="AS12">
        <v>8</v>
      </c>
      <c r="AT12" t="s">
        <v>34</v>
      </c>
      <c r="AU12" s="11">
        <v>50</v>
      </c>
      <c r="AV12" s="11">
        <v>40</v>
      </c>
      <c r="AW12" s="7">
        <f t="shared" si="4"/>
        <v>542867.21054031618</v>
      </c>
      <c r="AX12" s="8">
        <f t="shared" si="5"/>
        <v>1.2280776938236002</v>
      </c>
      <c r="AY12" s="9">
        <f t="shared" si="6"/>
        <v>14.634937295806466</v>
      </c>
      <c r="AZ12"/>
      <c r="BA12"/>
    </row>
    <row r="13" spans="1:56" ht="15" x14ac:dyDescent="0.25">
      <c r="A13" s="40">
        <f>(B13/3600)/(PI()*(R$5/1000/2)^2)</f>
        <v>1.2668153511655595</v>
      </c>
      <c r="B13" s="5">
        <v>183.26979783832127</v>
      </c>
      <c r="C13" s="5">
        <v>0.14902402115791444</v>
      </c>
      <c r="D13" s="5">
        <v>4743.683131761828</v>
      </c>
      <c r="E13" s="43">
        <f>A13*$R$5/1000/$AW$2</f>
        <v>285696.54280523385</v>
      </c>
      <c r="F13" s="44">
        <f>(C13/$AT$2)*($R$5/1000)*2*$AT$2/((A13^2)*$AS$2)</f>
        <v>3.8190870193713748E-2</v>
      </c>
      <c r="G13" s="50">
        <f>((3.7^2)/(10^(1/(F13^0.5))))^0.5*$R$5</f>
        <v>2.3129487591546498</v>
      </c>
      <c r="H13" s="44">
        <f>F13^0.5</f>
        <v>0.19542484538490429</v>
      </c>
      <c r="I13" s="44">
        <f>1/H13</f>
        <v>5.1170566261952155</v>
      </c>
      <c r="J13" s="44">
        <f>10^I13</f>
        <v>130935.26339512729</v>
      </c>
      <c r="K13" s="44">
        <f>1/J13</f>
        <v>7.6373619609430196E-6</v>
      </c>
      <c r="L13" s="44">
        <f>K13^0.5</f>
        <v>2.7635777464987336E-3</v>
      </c>
      <c r="M13" s="44">
        <f>L13-(2.51/(E13*H13))</f>
        <v>2.7186216122535045E-3</v>
      </c>
      <c r="N13" s="44">
        <f>M13*3.7*$R$5</f>
        <v>2.2753231721594482</v>
      </c>
      <c r="O13" s="44">
        <f>(P13/3600)/(PI()*($R$5/1000/2)^2)</f>
        <v>1.251644065165725</v>
      </c>
      <c r="P13" s="5">
        <v>181.07497243177812</v>
      </c>
      <c r="Q13" s="5">
        <v>0.33858159208176297</v>
      </c>
      <c r="R13" s="5">
        <v>3109.783497599733</v>
      </c>
      <c r="S13" s="43">
        <f>O13*$R$5/1000/$AW$2</f>
        <v>282275.06235342671</v>
      </c>
      <c r="T13" s="5">
        <f>(Q13/$AT$2)*($R$5/1000)*2*$AT$2/((O13^2)*$AS$2)</f>
        <v>8.8885632062621803E-2</v>
      </c>
      <c r="U13" s="5">
        <f>((3.7^2)/(10^(1/(T13^0.5))))^0.5*$R$5</f>
        <v>17.604050985161773</v>
      </c>
      <c r="V13" s="5">
        <f t="shared" ref="V13:V17" si="7">T13^0.5</f>
        <v>0.29813693508624822</v>
      </c>
      <c r="W13" s="5">
        <f t="shared" ref="W13:W17" si="8">1/V13</f>
        <v>3.3541634139047862</v>
      </c>
      <c r="X13" s="5">
        <f t="shared" ref="X13:X17" si="9">10^W13</f>
        <v>2260.2860980758196</v>
      </c>
      <c r="Y13" s="5">
        <f t="shared" ref="Y13:Y17" si="10">1/X13</f>
        <v>4.4242186900644989E-4</v>
      </c>
      <c r="Z13" s="5">
        <f t="shared" ref="Z13:Z17" si="11">Y13^0.5</f>
        <v>2.1033826779890765E-2</v>
      </c>
      <c r="AA13" s="5">
        <f>IF(Z13-(2.51/(S13*V13))&gt;0, Z13-(2.51/(S13*V13)), Z13)</f>
        <v>2.1004001438258708E-2</v>
      </c>
      <c r="AB13" s="5">
        <f>AA13*3.7*$R$5</f>
        <v>17.579088963736243</v>
      </c>
      <c r="AC13" s="5">
        <f>(AD13/3600)/(PI()*($R$5/1000/2)^2)</f>
        <v>1.2537128768929751</v>
      </c>
      <c r="AD13" s="5">
        <v>181.37426680539764</v>
      </c>
      <c r="AE13" s="5">
        <v>0.59797616281966104</v>
      </c>
      <c r="AF13" s="5">
        <v>2343.8894922916743</v>
      </c>
      <c r="AG13" s="1">
        <f>AC13*$R$5/1000/$AW$2</f>
        <v>282741.62786958221</v>
      </c>
      <c r="AH13" s="1">
        <f>(AE13/$AT$2)*($R$5/1000)*2*$AT$2/((AC13^2)*$AS$2)</f>
        <v>0.15646514612461698</v>
      </c>
      <c r="AI13" s="40">
        <f>((3.7^2)/(10^(1/(AH13^0.5))))^0.5*$R$5</f>
        <v>45.567291237695855</v>
      </c>
      <c r="AJ13" s="1">
        <f t="shared" ref="AJ13:AJ47" si="12">AH13^0.5</f>
        <v>0.39555675461887513</v>
      </c>
      <c r="AK13" s="1">
        <f t="shared" ref="AK13:AK47" si="13">1/AJ13</f>
        <v>2.5280822241640521</v>
      </c>
      <c r="AL13" s="1">
        <f t="shared" ref="AL13:AL47" si="14">10^AK13</f>
        <v>337.35117268122173</v>
      </c>
      <c r="AM13" s="1">
        <f t="shared" ref="AM13:AM47" si="15">1/AL13</f>
        <v>2.964270116662511E-3</v>
      </c>
      <c r="AN13" s="1">
        <f t="shared" ref="AN13:AN47" si="16">AM13^0.5</f>
        <v>5.444511104463385E-2</v>
      </c>
      <c r="AO13" s="1">
        <f>IF(AN13-(2.51/(AG13*AJ13))&gt;0, AN13-(2.51/(AG13*AJ13)), AN13)</f>
        <v>5.4422668341624521E-2</v>
      </c>
      <c r="AP13" s="47">
        <f>AO13*3.7*R$5</f>
        <v>45.54850804183922</v>
      </c>
      <c r="AR13" t="s">
        <v>35</v>
      </c>
      <c r="AS13">
        <f>AU2*1000</f>
        <v>226.20000000000002</v>
      </c>
      <c r="AT13" t="s">
        <v>34</v>
      </c>
      <c r="AU13" s="11">
        <v>50</v>
      </c>
      <c r="AV13">
        <v>30</v>
      </c>
      <c r="AW13" s="7">
        <f t="shared" si="4"/>
        <v>407150.40790523717</v>
      </c>
      <c r="AX13" s="8">
        <f t="shared" si="5"/>
        <v>0.92105827036770005</v>
      </c>
      <c r="AY13" s="9">
        <f t="shared" si="6"/>
        <v>14.634937295806466</v>
      </c>
      <c r="AZ13"/>
      <c r="BA13"/>
    </row>
    <row r="14" spans="1:56" ht="15" x14ac:dyDescent="0.25">
      <c r="A14" s="40">
        <f>(B14/3600)/(PI()*(R$5/1000/2)^2)</f>
        <v>1.7236345948836405</v>
      </c>
      <c r="B14" s="5">
        <v>249.35770115259521</v>
      </c>
      <c r="C14" s="5">
        <v>0.26937128499704793</v>
      </c>
      <c r="D14" s="5">
        <v>4800.6500209351298</v>
      </c>
      <c r="E14" s="43">
        <f>A14*R$5/1000/AW$2</f>
        <v>388719.98540646001</v>
      </c>
      <c r="F14" s="44">
        <f t="shared" ref="F14:F17" si="17">(C14/$AT$2)*($R$5/1000)*2*$AT$2/((A14^2)*$AS$2)</f>
        <v>3.7289864455857601E-2</v>
      </c>
      <c r="G14" s="50">
        <f t="shared" ref="G14:G17" si="18">((3.7^2)/(10^(1/(F14^0.5))))^0.5*$R$5</f>
        <v>2.1549671086150815</v>
      </c>
      <c r="H14" s="44">
        <f t="shared" ref="H14:H17" si="19">F14^0.5</f>
        <v>0.19310583744635376</v>
      </c>
      <c r="I14" s="44">
        <f t="shared" ref="I14:I17" si="20">1/H14</f>
        <v>5.1785073575406928</v>
      </c>
      <c r="J14" s="44">
        <f t="shared" ref="J14:J17" si="21">10^I14</f>
        <v>150836.81641374168</v>
      </c>
      <c r="K14" s="44">
        <f t="shared" ref="K14:K17" si="22">1/J14</f>
        <v>6.6296811599167185E-6</v>
      </c>
      <c r="L14" s="44">
        <f t="shared" ref="L14:L17" si="23">K14^0.5</f>
        <v>2.5748167235585366E-3</v>
      </c>
      <c r="M14" s="44">
        <f t="shared" ref="M14:M17" si="24">L14-(2.51/(E14*H14))</f>
        <v>2.5413786345602671E-3</v>
      </c>
      <c r="N14" s="44">
        <f t="shared" ref="N14:N17" si="25">M14*3.7*$R$5</f>
        <v>2.12698143440887</v>
      </c>
      <c r="O14" s="44">
        <f t="shared" ref="O14:O17" si="26">(P14/3600)/(PI()*($R$5/1000/2)^2)</f>
        <v>1.7164370998879286</v>
      </c>
      <c r="P14" s="5">
        <v>248.31644170496318</v>
      </c>
      <c r="Q14" s="5">
        <v>0.60857956980814543</v>
      </c>
      <c r="R14" s="5">
        <v>3180.9012744624911</v>
      </c>
      <c r="S14" s="43">
        <f>O14*$R$5/1000/$AW$2</f>
        <v>387096.78164970031</v>
      </c>
      <c r="T14" s="5">
        <f t="shared" ref="T14:T17" si="27">(Q14/$AT$2)*($R$5/1000)*2*$AT$2/((O14^2)*$AS$2)</f>
        <v>8.4955498769417395E-2</v>
      </c>
      <c r="U14" s="5">
        <f t="shared" ref="U14:U17" si="28">((3.7^2)/(10^(1/(T14^0.5))))^0.5*$R$5</f>
        <v>16.116078038496909</v>
      </c>
      <c r="V14" s="5">
        <f t="shared" si="7"/>
        <v>0.29147126576974514</v>
      </c>
      <c r="W14" s="5">
        <f t="shared" si="8"/>
        <v>3.430869925922559</v>
      </c>
      <c r="X14" s="5">
        <f t="shared" si="9"/>
        <v>2696.9315625815361</v>
      </c>
      <c r="Y14" s="5">
        <f t="shared" si="10"/>
        <v>3.7079175974446594E-4</v>
      </c>
      <c r="Z14" s="5">
        <f t="shared" si="11"/>
        <v>1.9255953877813117E-2</v>
      </c>
      <c r="AA14" s="5">
        <f t="shared" ref="AA14:AA17" si="29">IF(Z14-(2.51/(S14*V14))&gt;0, Z14-(2.51/(S14*V14)), Z14)</f>
        <v>1.9233707545830283E-2</v>
      </c>
      <c r="AB14" s="5">
        <f t="shared" ref="AB14:AB17" si="30">AA14*3.7*$R$5</f>
        <v>16.097459193407197</v>
      </c>
      <c r="AC14" s="5">
        <f t="shared" ref="AC14:AC17" si="31">(AD14/3600)/(PI()*($R$5/1000/2)^2)</f>
        <v>1.7164370998879286</v>
      </c>
      <c r="AD14" s="5">
        <v>248.31644170496318</v>
      </c>
      <c r="AE14" s="5">
        <v>1.0375782829515923</v>
      </c>
      <c r="AF14" s="5">
        <v>2436.1186578845659</v>
      </c>
      <c r="AG14" s="1">
        <f>AC14*$R$5/1000/$AW$2</f>
        <v>387096.78164970031</v>
      </c>
      <c r="AH14" s="1">
        <f t="shared" ref="AH14:AH17" si="32">(AE14/$AT$2)*($R$5/1000)*2*$AT$2/((AC14^2)*$AS$2)</f>
        <v>0.14484216183638376</v>
      </c>
      <c r="AI14" s="40">
        <f t="shared" ref="AI14:AI17" si="33">((3.7^2)/(10^(1/(AH14^0.5))))^0.5*$R$5</f>
        <v>40.636355514499023</v>
      </c>
      <c r="AJ14" s="1">
        <f t="shared" si="12"/>
        <v>0.38058134719975933</v>
      </c>
      <c r="AK14" s="1">
        <f t="shared" si="13"/>
        <v>2.6275591469676534</v>
      </c>
      <c r="AL14" s="1">
        <f t="shared" si="14"/>
        <v>424.18875063550109</v>
      </c>
      <c r="AM14" s="1">
        <f t="shared" si="15"/>
        <v>2.3574411120093203E-3</v>
      </c>
      <c r="AN14" s="1">
        <f t="shared" si="16"/>
        <v>4.8553487125121302E-2</v>
      </c>
      <c r="AO14" s="1">
        <f t="shared" ref="AO14:AO17" si="34">AN14-(2.51/(AG14*AJ14))</f>
        <v>4.8536449594014014E-2</v>
      </c>
      <c r="AP14" s="47">
        <f>AO14*3.7*R$5</f>
        <v>40.622096123214085</v>
      </c>
      <c r="AR14" t="s">
        <v>36</v>
      </c>
      <c r="AS14">
        <f>2*PI()*AS13/2</f>
        <v>710.62825824201127</v>
      </c>
      <c r="AT14" t="s">
        <v>34</v>
      </c>
      <c r="AU14" s="11">
        <v>50</v>
      </c>
      <c r="AV14">
        <v>20</v>
      </c>
      <c r="AW14" s="7">
        <f t="shared" si="4"/>
        <v>271433.60527015809</v>
      </c>
      <c r="AX14" s="8">
        <f t="shared" si="5"/>
        <v>0.61403884691180011</v>
      </c>
      <c r="AY14" s="9">
        <f t="shared" si="6"/>
        <v>14.634937295806466</v>
      </c>
      <c r="AZ14"/>
      <c r="BA14"/>
    </row>
    <row r="15" spans="1:56" ht="15" x14ac:dyDescent="0.25">
      <c r="A15" s="40">
        <f>(B15/3600)/(PI()*(R$5/1000/2)^2)</f>
        <v>2.0820465833562762</v>
      </c>
      <c r="B15" s="5">
        <v>301.20905629269106</v>
      </c>
      <c r="C15" s="5">
        <v>0.37846516337751268</v>
      </c>
      <c r="D15" s="5">
        <v>4892.8113210662941</v>
      </c>
      <c r="E15" s="43">
        <f>A15*R$5/1000/AW$2</f>
        <v>469550.28629630076</v>
      </c>
      <c r="F15" s="44">
        <f t="shared" si="17"/>
        <v>3.5906654014705587E-2</v>
      </c>
      <c r="G15" s="50">
        <f t="shared" si="18"/>
        <v>1.9232678814073494</v>
      </c>
      <c r="H15" s="44">
        <f t="shared" si="19"/>
        <v>0.1894905116746102</v>
      </c>
      <c r="I15" s="44">
        <f t="shared" si="20"/>
        <v>5.2773090914292453</v>
      </c>
      <c r="J15" s="44">
        <f t="shared" si="21"/>
        <v>189369.08966082687</v>
      </c>
      <c r="K15" s="44">
        <f t="shared" si="22"/>
        <v>5.2806928617076269E-6</v>
      </c>
      <c r="L15" s="44">
        <f t="shared" si="23"/>
        <v>2.2979758183470137E-3</v>
      </c>
      <c r="M15" s="44">
        <f t="shared" si="24"/>
        <v>2.2697657496790358E-3</v>
      </c>
      <c r="N15" s="44">
        <f t="shared" si="25"/>
        <v>1.8996577465363722</v>
      </c>
      <c r="O15" s="44">
        <f t="shared" si="26"/>
        <v>2.0751540451164177</v>
      </c>
      <c r="P15" s="5">
        <v>300.21191484768923</v>
      </c>
      <c r="Q15" s="5">
        <v>0.8972543048533087</v>
      </c>
      <c r="R15" s="5">
        <v>3167.1858429874833</v>
      </c>
      <c r="S15" s="43">
        <f>O15*$R$5/1000/$AW$2</f>
        <v>467995.85743303457</v>
      </c>
      <c r="T15" s="5">
        <f t="shared" si="27"/>
        <v>8.5692887934157108E-2</v>
      </c>
      <c r="U15" s="5">
        <f t="shared" si="28"/>
        <v>16.392907401384051</v>
      </c>
      <c r="V15" s="5">
        <f t="shared" si="7"/>
        <v>0.29273347593699822</v>
      </c>
      <c r="W15" s="5">
        <f t="shared" si="8"/>
        <v>3.4160766779376437</v>
      </c>
      <c r="X15" s="5">
        <f t="shared" si="9"/>
        <v>2606.6137265148291</v>
      </c>
      <c r="Y15" s="5">
        <f t="shared" si="10"/>
        <v>3.8363950508963566E-4</v>
      </c>
      <c r="Z15" s="5">
        <f t="shared" si="11"/>
        <v>1.9586717568026442E-2</v>
      </c>
      <c r="AA15" s="5">
        <f t="shared" si="29"/>
        <v>1.9568396139908139E-2</v>
      </c>
      <c r="AB15" s="5">
        <f t="shared" si="30"/>
        <v>16.377573465334716</v>
      </c>
      <c r="AC15" s="5">
        <f t="shared" si="31"/>
        <v>2.0751540451164177</v>
      </c>
      <c r="AD15" s="5">
        <v>300.21191484768923</v>
      </c>
      <c r="AE15" s="5">
        <v>1.5756708744755037</v>
      </c>
      <c r="AF15" s="5">
        <v>2390.0036772306185</v>
      </c>
      <c r="AG15" s="1">
        <f>AC15*$R$5/1000/$AW$2</f>
        <v>467995.85743303457</v>
      </c>
      <c r="AH15" s="1">
        <f t="shared" si="32"/>
        <v>0.15048552783440766</v>
      </c>
      <c r="AI15" s="40">
        <f t="shared" si="33"/>
        <v>43.031273234788586</v>
      </c>
      <c r="AJ15" s="1">
        <f t="shared" si="12"/>
        <v>0.38792464195305726</v>
      </c>
      <c r="AK15" s="1">
        <f t="shared" si="13"/>
        <v>2.5778202564430281</v>
      </c>
      <c r="AL15" s="1">
        <f t="shared" si="14"/>
        <v>378.28598926253949</v>
      </c>
      <c r="AM15" s="1">
        <f t="shared" si="15"/>
        <v>2.6435026101534419E-3</v>
      </c>
      <c r="AN15" s="1">
        <f t="shared" si="16"/>
        <v>5.141500374553562E-2</v>
      </c>
      <c r="AO15" s="1">
        <f t="shared" si="34"/>
        <v>5.1401178134174094E-2</v>
      </c>
      <c r="AP15" s="47">
        <f>AO15*3.7*R$5</f>
        <v>43.019702027615665</v>
      </c>
      <c r="AR15" t="s">
        <v>37</v>
      </c>
      <c r="AS15">
        <f>AS14/AS10</f>
        <v>27.331856086231202</v>
      </c>
      <c r="AT15" t="s">
        <v>34</v>
      </c>
      <c r="AU15" s="11">
        <v>75</v>
      </c>
      <c r="AV15">
        <v>40</v>
      </c>
      <c r="AW15" s="7">
        <f t="shared" si="4"/>
        <v>814300.81581047433</v>
      </c>
      <c r="AX15" s="8">
        <f t="shared" si="5"/>
        <v>1.8421165407354001</v>
      </c>
      <c r="AY15" s="9">
        <f t="shared" si="6"/>
        <v>21.952405943709703</v>
      </c>
      <c r="AZ15"/>
      <c r="BA15"/>
    </row>
    <row r="16" spans="1:56" ht="15" x14ac:dyDescent="0.25">
      <c r="A16" s="40">
        <f>(B16/3600)/(PI()*(R$5/1000/2)^2)</f>
        <v>3.0952497046154579</v>
      </c>
      <c r="B16" s="5">
        <v>447.78884870796207</v>
      </c>
      <c r="C16" s="5">
        <v>0.85730087633500884</v>
      </c>
      <c r="D16" s="5">
        <v>4832.3629935493527</v>
      </c>
      <c r="E16" s="43">
        <f>A16*R$5/1000/AW$2</f>
        <v>698051.32919642737</v>
      </c>
      <c r="F16" s="44">
        <f t="shared" si="17"/>
        <v>3.6802031872192817E-2</v>
      </c>
      <c r="G16" s="50">
        <f t="shared" si="18"/>
        <v>2.0717440563959015</v>
      </c>
      <c r="H16" s="44">
        <f t="shared" si="19"/>
        <v>0.19183855679240505</v>
      </c>
      <c r="I16" s="44">
        <f t="shared" si="20"/>
        <v>5.2127164461632889</v>
      </c>
      <c r="J16" s="44">
        <f t="shared" si="21"/>
        <v>163198.60651105517</v>
      </c>
      <c r="K16" s="44">
        <f t="shared" si="22"/>
        <v>6.1275033002947818E-6</v>
      </c>
      <c r="L16" s="44">
        <f t="shared" si="23"/>
        <v>2.4753794255214252E-3</v>
      </c>
      <c r="M16" s="44">
        <f t="shared" si="24"/>
        <v>2.4566359352756126E-3</v>
      </c>
      <c r="N16" s="44">
        <f t="shared" si="25"/>
        <v>2.0560568796695713</v>
      </c>
      <c r="O16" s="44">
        <f t="shared" si="26"/>
        <v>3.102142242855316</v>
      </c>
      <c r="P16" s="5">
        <v>448.7859901529639</v>
      </c>
      <c r="Q16" s="5">
        <v>1.9746928733598004</v>
      </c>
      <c r="R16" s="5">
        <v>3191.4857514474907</v>
      </c>
      <c r="S16" s="43">
        <f>O16*$R$5/1000/$AW$2</f>
        <v>699605.75805969338</v>
      </c>
      <c r="T16" s="5">
        <f t="shared" si="27"/>
        <v>8.4392927923582217E-2</v>
      </c>
      <c r="U16" s="5">
        <f t="shared" si="28"/>
        <v>15.905643227562066</v>
      </c>
      <c r="V16" s="5">
        <f t="shared" si="7"/>
        <v>0.2905046091262275</v>
      </c>
      <c r="W16" s="5">
        <f t="shared" si="8"/>
        <v>3.4422861757951964</v>
      </c>
      <c r="X16" s="5">
        <f t="shared" si="9"/>
        <v>2768.7655061842979</v>
      </c>
      <c r="Y16" s="5">
        <f t="shared" si="10"/>
        <v>3.6117179218189699E-4</v>
      </c>
      <c r="Z16" s="5">
        <f t="shared" si="11"/>
        <v>1.9004520309176366E-2</v>
      </c>
      <c r="AA16" s="5">
        <f t="shared" si="29"/>
        <v>1.8992170298900279E-2</v>
      </c>
      <c r="AB16" s="5">
        <f t="shared" si="30"/>
        <v>15.8953070099616</v>
      </c>
      <c r="AC16" s="5">
        <f t="shared" si="31"/>
        <v>3.0676795516560245</v>
      </c>
      <c r="AD16" s="5">
        <v>443.8002829279547</v>
      </c>
      <c r="AE16" s="5">
        <v>3.3415027268633404</v>
      </c>
      <c r="AF16" s="5">
        <v>2426.1634905263022</v>
      </c>
      <c r="AG16" s="1">
        <f>AC16*$R$5/1000/$AW$2</f>
        <v>691833.6137433626</v>
      </c>
      <c r="AH16" s="1">
        <f t="shared" si="32"/>
        <v>0.1460332491363788</v>
      </c>
      <c r="AI16" s="40">
        <f t="shared" si="33"/>
        <v>41.141819490810157</v>
      </c>
      <c r="AJ16" s="1">
        <f t="shared" si="12"/>
        <v>0.38214296949751514</v>
      </c>
      <c r="AK16" s="1">
        <f t="shared" si="13"/>
        <v>2.6168216605290771</v>
      </c>
      <c r="AL16" s="1">
        <f t="shared" si="14"/>
        <v>413.82970414598668</v>
      </c>
      <c r="AM16" s="1">
        <f t="shared" si="15"/>
        <v>2.4164529273307798E-3</v>
      </c>
      <c r="AN16" s="1">
        <f t="shared" si="16"/>
        <v>4.9157430031794583E-2</v>
      </c>
      <c r="AO16" s="1">
        <f t="shared" si="34"/>
        <v>4.9147936098228116E-2</v>
      </c>
      <c r="AP16" s="47">
        <f>AO16*3.7*R$5</f>
        <v>41.133873638051035</v>
      </c>
      <c r="AR16" t="s">
        <v>38</v>
      </c>
      <c r="AS16">
        <f>PI()*(AS12/2)^2</f>
        <v>50.26548245743669</v>
      </c>
      <c r="AT16" t="s">
        <v>39</v>
      </c>
      <c r="AU16" s="11">
        <v>75</v>
      </c>
      <c r="AV16" s="11">
        <v>30</v>
      </c>
      <c r="AW16" s="7">
        <f t="shared" si="4"/>
        <v>610725.61185785569</v>
      </c>
      <c r="AX16" s="8">
        <f t="shared" si="5"/>
        <v>1.3815874055515502</v>
      </c>
      <c r="AY16" s="9">
        <f t="shared" si="6"/>
        <v>21.952405943709703</v>
      </c>
      <c r="AZ16"/>
      <c r="BA16"/>
    </row>
    <row r="17" spans="1:51" ht="15" x14ac:dyDescent="0.25">
      <c r="A17" s="40">
        <f>(B17/3600)/(PI()*(R$5/1000/2)^2)</f>
        <v>4.7908141116206195</v>
      </c>
      <c r="B17" s="5">
        <v>693.08564417841558</v>
      </c>
      <c r="C17" s="5">
        <v>1.945459280534235</v>
      </c>
      <c r="D17" s="5">
        <v>4965.1084655677796</v>
      </c>
      <c r="E17" s="43">
        <f>A17*R$5/1000/AW$2</f>
        <v>1080440.8295599045</v>
      </c>
      <c r="F17" s="44">
        <f t="shared" si="17"/>
        <v>3.4860484284922132E-2</v>
      </c>
      <c r="G17" s="50">
        <f t="shared" si="18"/>
        <v>1.7568682435277423</v>
      </c>
      <c r="H17" s="44">
        <f t="shared" si="19"/>
        <v>0.18670962558187013</v>
      </c>
      <c r="I17" s="44">
        <f t="shared" si="20"/>
        <v>5.3559102637775418</v>
      </c>
      <c r="J17" s="44">
        <f t="shared" si="21"/>
        <v>226939.58888562562</v>
      </c>
      <c r="K17" s="44">
        <f t="shared" si="22"/>
        <v>4.4064590268733853E-6</v>
      </c>
      <c r="L17" s="44">
        <f t="shared" si="23"/>
        <v>2.099156741854544E-3</v>
      </c>
      <c r="M17" s="44">
        <f t="shared" si="24"/>
        <v>2.086714288372332E-3</v>
      </c>
      <c r="N17" s="44">
        <f t="shared" si="25"/>
        <v>1.7464546565103396</v>
      </c>
      <c r="O17" s="44">
        <f t="shared" si="26"/>
        <v>4.7701364969010438</v>
      </c>
      <c r="P17" s="5">
        <v>690.09421984341009</v>
      </c>
      <c r="Q17" s="5">
        <v>4.5992652734681156</v>
      </c>
      <c r="R17" s="5">
        <v>3215.6410079855359</v>
      </c>
      <c r="S17" s="43">
        <f>O17*$R$5/1000/$AW$2</f>
        <v>1075777.5429701058</v>
      </c>
      <c r="T17" s="5">
        <f t="shared" si="27"/>
        <v>8.3129804153164621E-2</v>
      </c>
      <c r="U17" s="5">
        <f t="shared" si="28"/>
        <v>15.43563489442136</v>
      </c>
      <c r="V17" s="5">
        <f t="shared" si="7"/>
        <v>0.28832239620460398</v>
      </c>
      <c r="W17" s="5">
        <f t="shared" si="8"/>
        <v>3.468339654372059</v>
      </c>
      <c r="X17" s="5">
        <f t="shared" si="9"/>
        <v>2939.9480367368419</v>
      </c>
      <c r="Y17" s="5">
        <f t="shared" si="10"/>
        <v>3.4014206628969447E-4</v>
      </c>
      <c r="Z17" s="5">
        <f t="shared" si="11"/>
        <v>1.8442940825413243E-2</v>
      </c>
      <c r="AA17" s="5">
        <f t="shared" si="29"/>
        <v>1.8434848508754133E-2</v>
      </c>
      <c r="AB17" s="5">
        <f t="shared" si="30"/>
        <v>15.428862110916683</v>
      </c>
      <c r="AC17" s="5">
        <f t="shared" si="31"/>
        <v>4.7563514204213275</v>
      </c>
      <c r="AD17" s="5">
        <v>688.09993695340643</v>
      </c>
      <c r="AE17" s="5">
        <v>7.463697137594127</v>
      </c>
      <c r="AF17" s="5">
        <v>2516.969263890107</v>
      </c>
      <c r="AG17" s="1">
        <f>AC17*$R$5/1000/$AW$2</f>
        <v>1072668.6852435735</v>
      </c>
      <c r="AH17" s="1">
        <f t="shared" si="32"/>
        <v>0.13568631559962382</v>
      </c>
      <c r="AI17" s="40">
        <f t="shared" si="33"/>
        <v>36.75468094940635</v>
      </c>
      <c r="AJ17" s="1">
        <f t="shared" si="12"/>
        <v>0.36835623464198869</v>
      </c>
      <c r="AK17" s="1">
        <f t="shared" si="13"/>
        <v>2.7147633349328699</v>
      </c>
      <c r="AL17" s="1">
        <f t="shared" si="14"/>
        <v>518.51740029832661</v>
      </c>
      <c r="AM17" s="1">
        <f t="shared" si="15"/>
        <v>1.9285755876748874E-3</v>
      </c>
      <c r="AN17" s="1">
        <f t="shared" si="16"/>
        <v>4.3915550636134434E-2</v>
      </c>
      <c r="AO17" s="1">
        <f t="shared" si="34"/>
        <v>4.3909198203119074E-2</v>
      </c>
      <c r="AP17" s="47">
        <f>AO17*3.7*R$5</f>
        <v>36.749364344118476</v>
      </c>
      <c r="AS17" s="1">
        <f>AS16/1000000</f>
        <v>5.0265482457436693E-5</v>
      </c>
      <c r="AT17" s="1" t="s">
        <v>40</v>
      </c>
      <c r="AU17" s="11">
        <v>75</v>
      </c>
      <c r="AV17" s="1">
        <v>20</v>
      </c>
      <c r="AW17" s="7">
        <f t="shared" si="4"/>
        <v>407150.40790523717</v>
      </c>
      <c r="AX17" s="8">
        <f t="shared" si="5"/>
        <v>0.92105827036770005</v>
      </c>
      <c r="AY17" s="9">
        <f t="shared" si="6"/>
        <v>21.952405943709703</v>
      </c>
    </row>
    <row r="18" spans="1:51" ht="15" x14ac:dyDescent="0.25">
      <c r="A18" s="40" t="s">
        <v>119</v>
      </c>
      <c r="B18" s="5"/>
      <c r="C18" s="5"/>
      <c r="D18" s="5"/>
      <c r="E18" s="43"/>
      <c r="F18" s="44"/>
      <c r="G18" s="44">
        <f>AVERAGE(G13:G17)</f>
        <v>2.0439592098201453</v>
      </c>
      <c r="H18" s="44"/>
      <c r="I18" s="44"/>
      <c r="J18" s="44"/>
      <c r="K18" s="44"/>
      <c r="L18" s="44"/>
      <c r="M18" s="44"/>
      <c r="N18" s="65">
        <f>AVERAGE(N13:N17)</f>
        <v>2.02089477785692</v>
      </c>
      <c r="O18" s="44"/>
      <c r="P18" s="5"/>
      <c r="Q18" s="5"/>
      <c r="R18" s="5"/>
      <c r="S18" s="5"/>
      <c r="T18" s="5"/>
      <c r="U18" s="66">
        <f>AVERAGE(U13:U17)</f>
        <v>16.290862909405231</v>
      </c>
      <c r="V18" s="5"/>
      <c r="W18" s="5"/>
      <c r="X18" s="5"/>
      <c r="Y18" s="5"/>
      <c r="Z18" s="5"/>
      <c r="AA18" s="5"/>
      <c r="AB18" s="5">
        <f>AVERAGE(AB13:AB17)</f>
        <v>16.27565814867129</v>
      </c>
      <c r="AC18" s="5"/>
      <c r="AD18" s="5"/>
      <c r="AE18" s="5"/>
      <c r="AF18" s="5"/>
      <c r="AI18" s="39">
        <f>AVERAGE(AI13:AI17)</f>
        <v>41.426284085439995</v>
      </c>
      <c r="AP18" s="47">
        <f>AVERAGE(AP13:AP17)</f>
        <v>41.414708834967698</v>
      </c>
      <c r="AU18" s="11"/>
      <c r="AW18" s="7"/>
      <c r="AX18" s="8"/>
      <c r="AY18" s="9"/>
    </row>
    <row r="19" spans="1:51" ht="15" x14ac:dyDescent="0.25">
      <c r="A19" s="40" t="s">
        <v>120</v>
      </c>
      <c r="B19" s="5"/>
      <c r="C19" s="5"/>
      <c r="D19" s="5"/>
      <c r="E19" s="43"/>
      <c r="F19" s="44"/>
      <c r="G19" s="44">
        <f>STDEV(G13:G18)</f>
        <v>0.19101714510799075</v>
      </c>
      <c r="H19" s="44"/>
      <c r="I19" s="44"/>
      <c r="J19" s="44"/>
      <c r="K19" s="44"/>
      <c r="L19" s="44"/>
      <c r="M19" s="44"/>
      <c r="N19" s="65">
        <f>STDEV(N13:N18)</f>
        <v>0.1828881395267406</v>
      </c>
      <c r="O19" s="44"/>
      <c r="P19" s="5"/>
      <c r="Q19" s="5"/>
      <c r="R19" s="5"/>
      <c r="S19" s="5"/>
      <c r="T19" s="5"/>
      <c r="U19" s="66">
        <f>STDEV(U13:U18)</f>
        <v>0.72735615933920927</v>
      </c>
      <c r="V19" s="5"/>
      <c r="W19" s="5"/>
      <c r="X19" s="5"/>
      <c r="Y19" s="5"/>
      <c r="Z19" s="5"/>
      <c r="AA19" s="5"/>
      <c r="AB19" s="5">
        <f>STDEV(AB13:AB18)</f>
        <v>0.72149899616886093</v>
      </c>
      <c r="AC19" s="5"/>
      <c r="AD19" s="5"/>
      <c r="AE19" s="5"/>
      <c r="AF19" s="5"/>
      <c r="AI19" s="39">
        <f>STDEV(AI13:AI18)</f>
        <v>2.9069817171061483</v>
      </c>
      <c r="AP19" s="47">
        <f>STDEV(AP13:AP18)</f>
        <v>2.902992992348957</v>
      </c>
      <c r="AU19" s="11"/>
      <c r="AW19" s="7"/>
      <c r="AX19" s="8"/>
      <c r="AY19" s="9"/>
    </row>
    <row r="20" spans="1:51" x14ac:dyDescent="0.2">
      <c r="B20" s="56">
        <v>0.5</v>
      </c>
      <c r="C20" s="57"/>
      <c r="D20" s="57"/>
      <c r="E20" s="57"/>
      <c r="F20" s="57"/>
      <c r="G20" s="57"/>
      <c r="H20" s="57"/>
      <c r="I20" s="57"/>
      <c r="J20" s="57"/>
      <c r="K20" s="57"/>
      <c r="L20" s="57"/>
      <c r="M20" s="57"/>
      <c r="N20" s="57"/>
      <c r="O20" s="57"/>
      <c r="P20" s="57"/>
      <c r="Q20" s="57"/>
      <c r="R20" s="57"/>
      <c r="S20" s="57"/>
      <c r="T20" s="57"/>
      <c r="U20" s="57"/>
      <c r="V20" s="57"/>
      <c r="W20" s="57"/>
      <c r="X20" s="57"/>
      <c r="Y20" s="57"/>
      <c r="Z20" s="57"/>
      <c r="AA20" s="57"/>
      <c r="AB20" s="57"/>
      <c r="AC20" s="57"/>
      <c r="AD20" s="57"/>
      <c r="AE20" s="57"/>
      <c r="AF20" s="57"/>
      <c r="AP20" s="47"/>
      <c r="AR20" s="1" t="s">
        <v>41</v>
      </c>
      <c r="AS20" s="1">
        <f>AS17*AS9</f>
        <v>2.7143360527015815E-2</v>
      </c>
    </row>
    <row r="21" spans="1:51" ht="15.75" x14ac:dyDescent="0.25">
      <c r="B21" s="58" t="s">
        <v>42</v>
      </c>
      <c r="C21" s="58"/>
      <c r="D21" s="58"/>
      <c r="E21" s="42"/>
      <c r="F21" s="42"/>
      <c r="G21" s="42" t="s">
        <v>123</v>
      </c>
      <c r="H21" s="42"/>
      <c r="I21" s="42"/>
      <c r="J21" s="42"/>
      <c r="K21" s="42"/>
      <c r="L21" s="42"/>
      <c r="M21" s="42"/>
      <c r="N21" s="42"/>
      <c r="O21" s="42"/>
      <c r="P21" s="58" t="s">
        <v>43</v>
      </c>
      <c r="Q21" s="58"/>
      <c r="R21" s="58"/>
      <c r="S21" s="42"/>
      <c r="T21" s="42"/>
      <c r="U21" s="42" t="s">
        <v>123</v>
      </c>
      <c r="V21" s="42"/>
      <c r="W21" s="42"/>
      <c r="X21" s="42"/>
      <c r="Y21" s="42"/>
      <c r="Z21" s="42"/>
      <c r="AA21" s="42"/>
      <c r="AB21" s="42"/>
      <c r="AC21" s="42"/>
      <c r="AD21" s="58" t="s">
        <v>44</v>
      </c>
      <c r="AE21" s="58"/>
      <c r="AF21" s="58"/>
      <c r="AI21" s="1" t="s">
        <v>123</v>
      </c>
      <c r="AP21" s="47"/>
      <c r="AR21" s="1" t="s">
        <v>45</v>
      </c>
      <c r="AS21" s="1">
        <f>AS$20*0.04</f>
        <v>1.0857344210806327E-3</v>
      </c>
      <c r="AT21" s="1" t="s">
        <v>46</v>
      </c>
      <c r="AU21" s="12" t="s">
        <v>47</v>
      </c>
      <c r="AV21" s="12" t="s">
        <v>48</v>
      </c>
      <c r="AW21" s="12"/>
      <c r="AX21" s="12"/>
      <c r="AY21" s="12"/>
    </row>
    <row r="22" spans="1:51" ht="15.75" x14ac:dyDescent="0.25">
      <c r="A22" s="39" t="s">
        <v>103</v>
      </c>
      <c r="B22" s="3" t="s">
        <v>8</v>
      </c>
      <c r="C22" s="4" t="s">
        <v>9</v>
      </c>
      <c r="D22" s="3" t="s">
        <v>10</v>
      </c>
      <c r="E22" s="3" t="s">
        <v>104</v>
      </c>
      <c r="F22" s="3" t="s">
        <v>105</v>
      </c>
      <c r="G22" s="3" t="s">
        <v>125</v>
      </c>
      <c r="H22" s="3" t="s">
        <v>111</v>
      </c>
      <c r="I22" s="3" t="s">
        <v>112</v>
      </c>
      <c r="J22" s="3" t="s">
        <v>113</v>
      </c>
      <c r="K22" s="3" t="s">
        <v>115</v>
      </c>
      <c r="L22" s="3" t="s">
        <v>114</v>
      </c>
      <c r="M22" s="3" t="s">
        <v>116</v>
      </c>
      <c r="N22" s="3" t="s">
        <v>118</v>
      </c>
      <c r="O22" s="3" t="s">
        <v>103</v>
      </c>
      <c r="P22" s="3" t="s">
        <v>8</v>
      </c>
      <c r="Q22" s="4" t="s">
        <v>9</v>
      </c>
      <c r="R22" s="3" t="s">
        <v>10</v>
      </c>
      <c r="S22" s="3" t="s">
        <v>104</v>
      </c>
      <c r="T22" s="3" t="s">
        <v>105</v>
      </c>
      <c r="U22" s="3" t="s">
        <v>125</v>
      </c>
      <c r="V22" s="3" t="s">
        <v>111</v>
      </c>
      <c r="W22" s="3" t="s">
        <v>112</v>
      </c>
      <c r="X22" s="3" t="s">
        <v>113</v>
      </c>
      <c r="Y22" s="3" t="s">
        <v>115</v>
      </c>
      <c r="Z22" s="3" t="s">
        <v>114</v>
      </c>
      <c r="AA22" s="3" t="s">
        <v>116</v>
      </c>
      <c r="AB22" s="3" t="s">
        <v>118</v>
      </c>
      <c r="AC22" s="3" t="s">
        <v>103</v>
      </c>
      <c r="AD22" s="3" t="s">
        <v>8</v>
      </c>
      <c r="AE22" s="4" t="s">
        <v>9</v>
      </c>
      <c r="AF22" s="3" t="s">
        <v>10</v>
      </c>
      <c r="AG22" s="46" t="s">
        <v>104</v>
      </c>
      <c r="AH22" s="46" t="s">
        <v>105</v>
      </c>
      <c r="AI22" s="46" t="s">
        <v>125</v>
      </c>
      <c r="AJ22" s="21" t="s">
        <v>111</v>
      </c>
      <c r="AK22" s="21" t="s">
        <v>112</v>
      </c>
      <c r="AL22" s="21" t="s">
        <v>113</v>
      </c>
      <c r="AM22" s="21" t="s">
        <v>115</v>
      </c>
      <c r="AN22" s="21" t="s">
        <v>114</v>
      </c>
      <c r="AO22" s="21" t="s">
        <v>116</v>
      </c>
      <c r="AP22" s="30" t="s">
        <v>118</v>
      </c>
      <c r="AR22" s="1" t="s">
        <v>49</v>
      </c>
      <c r="AS22" s="1">
        <f>AS$20*0.03</f>
        <v>8.1430081581047441E-4</v>
      </c>
      <c r="AT22" s="1" t="s">
        <v>46</v>
      </c>
      <c r="AU22" s="12" t="s">
        <v>50</v>
      </c>
      <c r="AV22" s="12">
        <v>25</v>
      </c>
      <c r="AW22" s="12">
        <v>50</v>
      </c>
      <c r="AX22" s="12">
        <v>75</v>
      </c>
      <c r="AY22" s="12">
        <v>100</v>
      </c>
    </row>
    <row r="23" spans="1:51" ht="15.75" x14ac:dyDescent="0.25">
      <c r="A23" s="40">
        <f t="shared" ref="A23:A32" si="35">(B23/3600)/(PI()*(R$5/1000/2)^2)</f>
        <v>0.61739921696188527</v>
      </c>
      <c r="B23" s="5">
        <v>89.318960000000004</v>
      </c>
      <c r="C23" s="5">
        <v>0.47976229712211366</v>
      </c>
      <c r="D23" s="5">
        <v>1289.333907462702</v>
      </c>
      <c r="E23" s="50">
        <f t="shared" ref="E23:E32" si="36">A23*R$5/1000/AW$2</f>
        <v>139237.9889100483</v>
      </c>
      <c r="F23" s="19">
        <f>(C23/$AT$2)*($R$5/1000)*2*$AT$2/((A23^2)*$AS$2)</f>
        <v>0.51763529095318384</v>
      </c>
      <c r="G23" s="50">
        <f>((3.7^2)/(10^(1/(F23^0.5))))^0.5*$R$5</f>
        <v>168.9417987285851</v>
      </c>
      <c r="H23" s="19">
        <f t="shared" ref="H23:H32" si="37">F23^0.5</f>
        <v>0.71946875606462846</v>
      </c>
      <c r="I23" s="19">
        <f t="shared" ref="I23:I32" si="38">1/H23</f>
        <v>1.3899144216766683</v>
      </c>
      <c r="J23" s="19">
        <f t="shared" ref="J23:J32" si="39">10^I23</f>
        <v>24.542252595804634</v>
      </c>
      <c r="K23" s="19">
        <f t="shared" ref="K23:K32" si="40">1/J23</f>
        <v>4.0746056055626478E-2</v>
      </c>
      <c r="L23" s="19">
        <f t="shared" ref="L23:L32" si="41">K23^0.5</f>
        <v>0.20185652344085014</v>
      </c>
      <c r="M23" s="19">
        <f>IF(L23-(2.51/(E23*H23))&gt;0, L23-(2.51/(E23*H23)), L23)</f>
        <v>0.20183146788506601</v>
      </c>
      <c r="N23" s="19">
        <f>M23*3.7*R$5</f>
        <v>168.92082873172714</v>
      </c>
      <c r="O23" s="19">
        <f>(P23/3600)/(PI()*($R$5/1000/2)^2)</f>
        <v>0.620109459658157</v>
      </c>
      <c r="P23" s="5">
        <v>89.71105</v>
      </c>
      <c r="Q23" s="5">
        <v>0.28524601631434354</v>
      </c>
      <c r="R23" s="5">
        <v>1679.4418950901868</v>
      </c>
      <c r="S23" s="5">
        <f t="shared" ref="S23:S32" si="42">O23*$R$5/1000/$AW$2</f>
        <v>139849.21213826034</v>
      </c>
      <c r="T23" s="5">
        <f>(Q23/$AT$2)*($R$5/1000)*2*$AT$2/((O23^2)*$AS$2)</f>
        <v>0.30507933144544258</v>
      </c>
      <c r="U23" s="50">
        <f>((3.7^2)/(10^(1/(T23^0.5))))^0.5*$R$5</f>
        <v>104.100924019622</v>
      </c>
      <c r="V23" s="5">
        <f t="shared" ref="V23:V32" si="43">T23^0.5</f>
        <v>0.55233986950558134</v>
      </c>
      <c r="W23" s="5">
        <f t="shared" ref="W23:W32" si="44">1/V23</f>
        <v>1.8104794804965552</v>
      </c>
      <c r="X23" s="5">
        <f t="shared" ref="X23:X32" si="45">10^W23</f>
        <v>64.636745377146397</v>
      </c>
      <c r="Y23" s="5">
        <f t="shared" ref="Y23:Y32" si="46">1/X23</f>
        <v>1.5471075998105094E-2</v>
      </c>
      <c r="Z23" s="5">
        <f t="shared" ref="Z23:Z32" si="47">Y23^0.5</f>
        <v>0.12438278015105264</v>
      </c>
      <c r="AA23" s="5">
        <f>IF(Z23-(2.51/(S23*V23))&gt;0, Z23-(2.51/(S23*V23)), Z23)</f>
        <v>0.1243502858421712</v>
      </c>
      <c r="AB23" s="50">
        <f>AA23*3.7*$R$5</f>
        <v>104.07372823274676</v>
      </c>
      <c r="AC23" s="5">
        <f>(AD23/3600)/(PI()*($R$5/1000/2)^2)</f>
        <v>0.62093686165959472</v>
      </c>
      <c r="AD23" s="5">
        <v>89.830749999999995</v>
      </c>
      <c r="AE23" s="5">
        <v>0.25570407550132118</v>
      </c>
      <c r="AF23" s="5">
        <v>1776.1646662956196</v>
      </c>
      <c r="AG23" s="1">
        <f t="shared" ref="AG23:AG32" si="48">AC23*$R$5/1000/$AW$2</f>
        <v>140035.8106753742</v>
      </c>
      <c r="AH23" s="1">
        <f>(AE23/$AT$2)*($R$5/1000)*2*$AT$2/((AC23^2)*$AS$2)</f>
        <v>0.27275497228988865</v>
      </c>
      <c r="AI23" s="41">
        <f>((3.7^2)/(10^(1/(AH23^0.5))))^0.5*$R$5</f>
        <v>92.324259660156059</v>
      </c>
      <c r="AJ23" s="1">
        <f t="shared" si="12"/>
        <v>0.52225948750586493</v>
      </c>
      <c r="AK23" s="1">
        <f t="shared" si="13"/>
        <v>1.9147569817748311</v>
      </c>
      <c r="AL23" s="1">
        <f t="shared" si="14"/>
        <v>82.178267621597428</v>
      </c>
      <c r="AM23" s="1">
        <f t="shared" si="15"/>
        <v>1.2168667324610138E-2</v>
      </c>
      <c r="AN23" s="1">
        <f t="shared" si="16"/>
        <v>0.11031168262976564</v>
      </c>
      <c r="AO23" s="1">
        <f>IF(AN23-(2.51/(AG23*AJ23))&gt;0, AN23-(2.51/(AG23*AJ23)), AN23)</f>
        <v>0.11027736255120091</v>
      </c>
      <c r="AP23" s="47">
        <f t="shared" ref="AP23:AP32" si="49">AO23*3.7*R$5</f>
        <v>92.295535813602086</v>
      </c>
      <c r="AR23" s="1" t="s">
        <v>51</v>
      </c>
      <c r="AS23" s="1">
        <f>AS$20*0.02</f>
        <v>5.4286721054031635E-4</v>
      </c>
      <c r="AT23" s="1" t="s">
        <v>46</v>
      </c>
      <c r="AU23" s="12">
        <v>0.02</v>
      </c>
      <c r="AV23" s="13">
        <f>$AS23/4/$AR$2*100</f>
        <v>0.30701942345590011</v>
      </c>
      <c r="AW23" s="13">
        <f>$AS23/2/$AR$2*100</f>
        <v>0.61403884691180022</v>
      </c>
      <c r="AX23" s="13">
        <f>$AS23*3/4/$AR$2*100</f>
        <v>0.92105827036770038</v>
      </c>
      <c r="AY23" s="13">
        <f>$AS23/$AR$2*100</f>
        <v>1.2280776938236004</v>
      </c>
    </row>
    <row r="24" spans="1:51" ht="15.75" x14ac:dyDescent="0.25">
      <c r="A24" s="40">
        <f t="shared" si="35"/>
        <v>0.61967357018271285</v>
      </c>
      <c r="B24" s="5">
        <v>89.647989999999993</v>
      </c>
      <c r="C24" s="5">
        <v>0.46841519236399015</v>
      </c>
      <c r="D24" s="5">
        <v>1309.6488431443388</v>
      </c>
      <c r="E24" s="50">
        <f t="shared" si="36"/>
        <v>139750.90884878329</v>
      </c>
      <c r="F24" s="19">
        <f t="shared" ref="F24:F32" si="50">(C24/$AT$2)*($R$5/1000)*2*$AT$2/((A24^2)*$AS$2)</f>
        <v>0.50168941341544293</v>
      </c>
      <c r="G24" s="50">
        <f t="shared" ref="G24:G32" si="51">((3.7^2)/(10^(1/(F24^0.5))))^0.5*$R$5</f>
        <v>164.7324359034065</v>
      </c>
      <c r="H24" s="19">
        <f t="shared" si="37"/>
        <v>0.70830036948701569</v>
      </c>
      <c r="I24" s="19">
        <f t="shared" si="38"/>
        <v>1.4118304085091002</v>
      </c>
      <c r="J24" s="19">
        <f t="shared" si="39"/>
        <v>25.812520178865153</v>
      </c>
      <c r="K24" s="19">
        <f t="shared" si="40"/>
        <v>3.874088981124682E-2</v>
      </c>
      <c r="L24" s="19">
        <f t="shared" si="41"/>
        <v>0.1968270555875051</v>
      </c>
      <c r="M24" s="19">
        <f t="shared" ref="M24:M32" si="52">IF(L24-(2.51/(E24*H24))&gt;0, L24-(2.51/(E24*H24)), L24)</f>
        <v>0.19680169836904729</v>
      </c>
      <c r="N24" s="19">
        <f t="shared" ref="N24:N32" si="53">M24*3.7*R$5</f>
        <v>164.71121343299043</v>
      </c>
      <c r="O24" s="19">
        <f t="shared" ref="O24:O32" si="54">(P24/3600)/(PI()*($R$5/1000/2)^2)</f>
        <v>0.62261032886551015</v>
      </c>
      <c r="P24" s="5">
        <v>90.072850000000003</v>
      </c>
      <c r="Q24" s="5">
        <v>0.36984358898703418</v>
      </c>
      <c r="R24" s="5">
        <v>1480.8403307053688</v>
      </c>
      <c r="S24" s="5">
        <f t="shared" si="42"/>
        <v>140413.21673916094</v>
      </c>
      <c r="T24" s="5">
        <f t="shared" ref="T24:T32" si="55">(Q24/$AT$2)*($R$5/1000)*2*$AT$2/((O24^2)*$AS$2)</f>
        <v>0.39238768040418054</v>
      </c>
      <c r="U24" s="50">
        <f t="shared" ref="U24:U32" si="56">((3.7^2)/(10^(1/(T24^0.5))))^0.5*$R$5</f>
        <v>133.19662590958905</v>
      </c>
      <c r="V24" s="5">
        <f t="shared" si="43"/>
        <v>0.62640855709686827</v>
      </c>
      <c r="W24" s="5">
        <f t="shared" si="44"/>
        <v>1.596402202157911</v>
      </c>
      <c r="X24" s="5">
        <f t="shared" si="45"/>
        <v>39.482278004329707</v>
      </c>
      <c r="Y24" s="5">
        <f t="shared" si="46"/>
        <v>2.5327819227916333E-2</v>
      </c>
      <c r="Z24" s="5">
        <f t="shared" si="47"/>
        <v>0.15914716217361946</v>
      </c>
      <c r="AA24" s="5">
        <f t="shared" ref="AA24:AA32" si="57">IF(Z24-(2.51/(S24*V24))&gt;0, Z24-(2.51/(S24*V24)), Z24)</f>
        <v>0.15911862519098727</v>
      </c>
      <c r="AB24" s="50">
        <f t="shared" ref="AB24:AB32" si="58">AA24*3.7*$R$5</f>
        <v>133.17274216734489</v>
      </c>
      <c r="AC24" s="5">
        <f t="shared" ref="AC24:AC32" si="59">(AD24/3600)/(PI()*($R$5/1000/2)^2)</f>
        <v>0.62035719639776865</v>
      </c>
      <c r="AD24" s="5">
        <v>89.746889999999993</v>
      </c>
      <c r="AE24" s="5">
        <v>0.25379592909175808</v>
      </c>
      <c r="AF24" s="5">
        <v>1781.1700181218866</v>
      </c>
      <c r="AG24" s="1">
        <f t="shared" si="48"/>
        <v>139905.08257744292</v>
      </c>
      <c r="AH24" s="1">
        <f t="shared" ref="AH24:AH32" si="60">(AE24/$AT$2)*($R$5/1000)*2*$AT$2/((AC24^2)*$AS$2)</f>
        <v>0.27122574676568073</v>
      </c>
      <c r="AI24" s="41">
        <f t="shared" ref="AI24:AI32" si="61">((3.7^2)/(10^(1/(AH24^0.5))))^0.5*$R$5</f>
        <v>91.753086136066358</v>
      </c>
      <c r="AJ24" s="1">
        <f t="shared" si="12"/>
        <v>0.5207933820294578</v>
      </c>
      <c r="AK24" s="1">
        <f t="shared" si="13"/>
        <v>1.9201472877845378</v>
      </c>
      <c r="AL24" s="1">
        <f t="shared" si="14"/>
        <v>83.204590551725019</v>
      </c>
      <c r="AM24" s="1">
        <f t="shared" si="15"/>
        <v>1.2018567645956256E-2</v>
      </c>
      <c r="AN24" s="1">
        <f t="shared" si="16"/>
        <v>0.1096292280642177</v>
      </c>
      <c r="AO24" s="1">
        <f t="shared" ref="AO24:AO32" si="62">IF(AN24-(2.51/(AG24*AJ24))&gt;0, AN24-(2.51/(AG24*AJ24)), AN24)</f>
        <v>0.10959477921072681</v>
      </c>
      <c r="AP24" s="47">
        <f t="shared" si="49"/>
        <v>91.724254512625706</v>
      </c>
      <c r="AU24" s="12">
        <v>0.03</v>
      </c>
      <c r="AV24" s="13">
        <f>$AS22/4/$AR$2*100</f>
        <v>0.46052913518385014</v>
      </c>
      <c r="AW24" s="13">
        <f>$AS22/2/$AR$2*100</f>
        <v>0.92105827036770027</v>
      </c>
      <c r="AX24" s="13">
        <f>$AS22*3/4/$AR$2*100</f>
        <v>1.3815874055515505</v>
      </c>
      <c r="AY24" s="13">
        <f>$AS22/$AR$2*100</f>
        <v>1.8421165407354005</v>
      </c>
    </row>
    <row r="25" spans="1:51" ht="15.75" x14ac:dyDescent="0.25">
      <c r="A25" s="40">
        <f t="shared" si="35"/>
        <v>1.2429105679325201</v>
      </c>
      <c r="B25" s="5">
        <v>179.8115</v>
      </c>
      <c r="C25" s="5">
        <v>0.53086148650826248</v>
      </c>
      <c r="D25" s="5">
        <v>2463.6217073364714</v>
      </c>
      <c r="E25" s="50">
        <f t="shared" si="36"/>
        <v>280305.45410402393</v>
      </c>
      <c r="F25" s="19">
        <f t="shared" si="50"/>
        <v>0.14132902687665991</v>
      </c>
      <c r="G25" s="50">
        <f t="shared" si="51"/>
        <v>39.145885383982865</v>
      </c>
      <c r="H25" s="19">
        <f t="shared" si="37"/>
        <v>0.3759375305508349</v>
      </c>
      <c r="I25" s="19">
        <f t="shared" si="38"/>
        <v>2.6600164089357348</v>
      </c>
      <c r="J25" s="19">
        <f t="shared" si="39"/>
        <v>457.10546009086625</v>
      </c>
      <c r="K25" s="19">
        <f t="shared" si="40"/>
        <v>2.1876789653775168E-3</v>
      </c>
      <c r="L25" s="19">
        <f t="shared" si="41"/>
        <v>4.6772630515906598E-2</v>
      </c>
      <c r="M25" s="19">
        <f t="shared" si="52"/>
        <v>4.6748811353315663E-2</v>
      </c>
      <c r="N25" s="19">
        <f t="shared" si="53"/>
        <v>39.125950174044014</v>
      </c>
      <c r="O25" s="19">
        <f t="shared" si="54"/>
        <v>1.2503903649730863</v>
      </c>
      <c r="P25" s="5">
        <v>180.89359999999999</v>
      </c>
      <c r="Q25" s="5">
        <v>0.65049848866652282</v>
      </c>
      <c r="R25" s="5">
        <v>2238.943633294652</v>
      </c>
      <c r="S25" s="5">
        <f t="shared" si="42"/>
        <v>281992.32358615368</v>
      </c>
      <c r="T25" s="5">
        <f t="shared" si="55"/>
        <v>0.17111377240808071</v>
      </c>
      <c r="U25" s="50">
        <f t="shared" si="56"/>
        <v>51.757021802969213</v>
      </c>
      <c r="V25" s="5">
        <f t="shared" si="43"/>
        <v>0.41365900498850583</v>
      </c>
      <c r="W25" s="5">
        <f t="shared" si="44"/>
        <v>2.417450092807206</v>
      </c>
      <c r="X25" s="5">
        <f t="shared" si="45"/>
        <v>261.48699416330334</v>
      </c>
      <c r="Y25" s="5">
        <f t="shared" si="46"/>
        <v>3.8242819808295397E-3</v>
      </c>
      <c r="Z25" s="5">
        <f t="shared" si="47"/>
        <v>6.1840779270878693E-2</v>
      </c>
      <c r="AA25" s="5">
        <f t="shared" si="57"/>
        <v>6.1819261664811331E-2</v>
      </c>
      <c r="AB25" s="50">
        <f t="shared" si="58"/>
        <v>51.739012857747198</v>
      </c>
      <c r="AC25" s="5">
        <f t="shared" si="59"/>
        <v>1.2546186173062479</v>
      </c>
      <c r="AD25" s="5">
        <v>181.50530000000001</v>
      </c>
      <c r="AE25" s="5">
        <v>0.78272939173415801</v>
      </c>
      <c r="AF25" s="5">
        <v>2047.9734339961935</v>
      </c>
      <c r="AG25" s="1">
        <f t="shared" si="48"/>
        <v>282945.89355401124</v>
      </c>
      <c r="AH25" s="1">
        <f t="shared" si="60"/>
        <v>0.20451167118649918</v>
      </c>
      <c r="AI25" s="41">
        <f t="shared" si="61"/>
        <v>65.623806689662203</v>
      </c>
      <c r="AJ25" s="1">
        <f t="shared" si="12"/>
        <v>0.45222966641574852</v>
      </c>
      <c r="AK25" s="1">
        <f t="shared" si="13"/>
        <v>2.2112658108560916</v>
      </c>
      <c r="AL25" s="1">
        <f t="shared" si="14"/>
        <v>162.65439808378812</v>
      </c>
      <c r="AM25" s="1">
        <f t="shared" si="15"/>
        <v>6.148004676054749E-3</v>
      </c>
      <c r="AN25" s="1">
        <f t="shared" si="16"/>
        <v>7.8409212953930024E-2</v>
      </c>
      <c r="AO25" s="1">
        <f t="shared" si="62"/>
        <v>7.8389596916688647E-2</v>
      </c>
      <c r="AP25" s="47">
        <f t="shared" si="49"/>
        <v>65.607389243453397</v>
      </c>
      <c r="AU25" s="12">
        <v>0.04</v>
      </c>
      <c r="AV25" s="13">
        <f>$AS21/4/$AR$2*100</f>
        <v>0.61403884691180022</v>
      </c>
      <c r="AW25" s="13">
        <f>$AS21/2/$AR$2*100</f>
        <v>1.2280776938236004</v>
      </c>
      <c r="AX25" s="13">
        <f>$AS21*3/4/$AR$2*100</f>
        <v>1.8421165407354008</v>
      </c>
      <c r="AY25" s="13">
        <f>$AS21/$AR$2*100</f>
        <v>2.4561553876472009</v>
      </c>
    </row>
    <row r="26" spans="1:51" x14ac:dyDescent="0.2">
      <c r="A26" s="40">
        <f t="shared" si="35"/>
        <v>1.2444692910012269</v>
      </c>
      <c r="B26" s="5">
        <v>180.03700000000001</v>
      </c>
      <c r="C26" s="5">
        <v>0.52678707183319284</v>
      </c>
      <c r="D26" s="5">
        <v>2476.2274306611912</v>
      </c>
      <c r="E26" s="50">
        <f t="shared" si="36"/>
        <v>280656.98267644818</v>
      </c>
      <c r="F26" s="19">
        <f t="shared" si="50"/>
        <v>0.1398932148628243</v>
      </c>
      <c r="G26" s="50">
        <f t="shared" si="51"/>
        <v>38.537025372115956</v>
      </c>
      <c r="H26" s="19">
        <f t="shared" si="37"/>
        <v>0.37402301381442332</v>
      </c>
      <c r="I26" s="19">
        <f t="shared" si="38"/>
        <v>2.6736322714520551</v>
      </c>
      <c r="J26" s="19">
        <f t="shared" si="39"/>
        <v>471.66350225810788</v>
      </c>
      <c r="K26" s="19">
        <f t="shared" si="40"/>
        <v>2.1201555668659117E-3</v>
      </c>
      <c r="L26" s="19">
        <f t="shared" si="41"/>
        <v>4.6045147050106289E-2</v>
      </c>
      <c r="M26" s="19">
        <f t="shared" si="52"/>
        <v>4.6021235950737413E-2</v>
      </c>
      <c r="N26" s="19">
        <f t="shared" si="53"/>
        <v>38.517013216610174</v>
      </c>
      <c r="O26" s="19">
        <f t="shared" si="54"/>
        <v>1.2482440966234922</v>
      </c>
      <c r="P26" s="5">
        <v>180.5831</v>
      </c>
      <c r="Q26" s="5">
        <v>0.59223313125223387</v>
      </c>
      <c r="R26" s="5">
        <v>2342.475296537616</v>
      </c>
      <c r="S26" s="5">
        <f t="shared" si="42"/>
        <v>281508.28978687327</v>
      </c>
      <c r="T26" s="5">
        <f t="shared" si="55"/>
        <v>0.15632324761076682</v>
      </c>
      <c r="U26" s="50">
        <f t="shared" si="56"/>
        <v>45.507150450590089</v>
      </c>
      <c r="V26" s="5">
        <f t="shared" si="43"/>
        <v>0.39537734837844063</v>
      </c>
      <c r="W26" s="5">
        <f t="shared" si="44"/>
        <v>2.5292293655701208</v>
      </c>
      <c r="X26" s="5">
        <f t="shared" si="45"/>
        <v>338.24342680888134</v>
      </c>
      <c r="Y26" s="5">
        <f t="shared" si="46"/>
        <v>2.9564506528164786E-3</v>
      </c>
      <c r="Z26" s="5">
        <f t="shared" si="47"/>
        <v>5.4373253101285733E-2</v>
      </c>
      <c r="AA26" s="5">
        <f t="shared" si="57"/>
        <v>5.4350701844580691E-2</v>
      </c>
      <c r="AB26" s="50">
        <f t="shared" si="58"/>
        <v>45.488276401803361</v>
      </c>
      <c r="AC26" s="5">
        <f t="shared" si="59"/>
        <v>1.2540372930930406</v>
      </c>
      <c r="AD26" s="5">
        <v>181.4212</v>
      </c>
      <c r="AE26" s="5">
        <v>0.78661519963248216</v>
      </c>
      <c r="AF26" s="5">
        <v>2041.9636601212692</v>
      </c>
      <c r="AG26" s="1">
        <f t="shared" si="48"/>
        <v>282814.79132367473</v>
      </c>
      <c r="AH26" s="1">
        <f t="shared" si="60"/>
        <v>0.20571754894509381</v>
      </c>
      <c r="AI26" s="41">
        <f t="shared" si="61"/>
        <v>66.116017897500967</v>
      </c>
      <c r="AJ26" s="1">
        <f t="shared" si="12"/>
        <v>0.45356096497063525</v>
      </c>
      <c r="AK26" s="1">
        <f t="shared" si="13"/>
        <v>2.2047752721946492</v>
      </c>
      <c r="AL26" s="1">
        <f t="shared" si="14"/>
        <v>160.24159981205423</v>
      </c>
      <c r="AM26" s="1">
        <f t="shared" si="15"/>
        <v>6.2405767364585099E-3</v>
      </c>
      <c r="AN26" s="1">
        <f t="shared" si="16"/>
        <v>7.8997321071404128E-2</v>
      </c>
      <c r="AO26" s="1">
        <f t="shared" si="62"/>
        <v>7.8977753544870924E-2</v>
      </c>
      <c r="AP26" s="47">
        <f t="shared" si="49"/>
        <v>66.099641051844273</v>
      </c>
      <c r="AR26" s="1">
        <f>0.000050265*441</f>
        <v>2.2166865000000001E-2</v>
      </c>
    </row>
    <row r="27" spans="1:51" ht="15.75" x14ac:dyDescent="0.25">
      <c r="A27" s="40">
        <f t="shared" si="35"/>
        <v>1.878172129155018</v>
      </c>
      <c r="B27" s="5">
        <v>271.71460000000002</v>
      </c>
      <c r="C27" s="51">
        <v>0.89298992820264789</v>
      </c>
      <c r="D27" s="5">
        <v>2875.4091252664412</v>
      </c>
      <c r="E27" s="50">
        <f t="shared" si="36"/>
        <v>423571.82015440182</v>
      </c>
      <c r="F27" s="19">
        <f t="shared" si="50"/>
        <v>0.10411317445257598</v>
      </c>
      <c r="G27" s="50">
        <f t="shared" si="51"/>
        <v>23.610384404485433</v>
      </c>
      <c r="H27" s="19">
        <f t="shared" si="37"/>
        <v>0.32266573176055741</v>
      </c>
      <c r="I27" s="19">
        <f t="shared" si="38"/>
        <v>3.099182533402947</v>
      </c>
      <c r="J27" s="19">
        <f t="shared" si="39"/>
        <v>1256.5579824014958</v>
      </c>
      <c r="K27" s="19">
        <f t="shared" si="40"/>
        <v>7.9582479599455498E-4</v>
      </c>
      <c r="L27" s="19">
        <f t="shared" si="41"/>
        <v>2.8210366817795103E-2</v>
      </c>
      <c r="M27" s="19">
        <f t="shared" si="52"/>
        <v>2.8192001695781069E-2</v>
      </c>
      <c r="N27" s="19">
        <f t="shared" si="53"/>
        <v>23.595013899267009</v>
      </c>
      <c r="O27" s="19">
        <f t="shared" si="54"/>
        <v>1.8653304630040488</v>
      </c>
      <c r="P27" s="5">
        <v>269.85680000000002</v>
      </c>
      <c r="Q27" s="5">
        <v>1.347865830537063</v>
      </c>
      <c r="R27" s="5">
        <v>2324.4547538455827</v>
      </c>
      <c r="S27" s="5">
        <f t="shared" si="42"/>
        <v>420675.72356083337</v>
      </c>
      <c r="T27" s="5">
        <f t="shared" si="55"/>
        <v>0.15931805992458173</v>
      </c>
      <c r="U27" s="50">
        <f t="shared" si="56"/>
        <v>46.775878278928793</v>
      </c>
      <c r="V27" s="5">
        <f t="shared" si="43"/>
        <v>0.39914666467926513</v>
      </c>
      <c r="W27" s="5">
        <f t="shared" si="44"/>
        <v>2.5053447479100233</v>
      </c>
      <c r="X27" s="5">
        <f t="shared" si="45"/>
        <v>320.14354372290342</v>
      </c>
      <c r="Y27" s="5">
        <f t="shared" si="46"/>
        <v>3.1235988343576858E-3</v>
      </c>
      <c r="Z27" s="5">
        <f t="shared" si="47"/>
        <v>5.5889165625885716E-2</v>
      </c>
      <c r="AA27" s="5">
        <f t="shared" si="57"/>
        <v>5.5874217258378253E-2</v>
      </c>
      <c r="AB27" s="50">
        <f t="shared" si="58"/>
        <v>46.763367392227096</v>
      </c>
      <c r="AC27" s="5">
        <f t="shared" si="59"/>
        <v>1.8530797982826772</v>
      </c>
      <c r="AD27" s="5">
        <v>268.08449999999999</v>
      </c>
      <c r="AE27" s="5">
        <v>2.1191825699913522</v>
      </c>
      <c r="AF27" s="5">
        <v>1841.6184394926418</v>
      </c>
      <c r="AG27" s="1">
        <f t="shared" si="48"/>
        <v>417912.91163663164</v>
      </c>
      <c r="AH27" s="1">
        <f t="shared" si="60"/>
        <v>0.25381076688018106</v>
      </c>
      <c r="AI27" s="41">
        <f t="shared" si="61"/>
        <v>85.158856072133673</v>
      </c>
      <c r="AJ27" s="1">
        <f t="shared" si="12"/>
        <v>0.50379635457214367</v>
      </c>
      <c r="AK27" s="1">
        <f t="shared" si="13"/>
        <v>1.984929011344801</v>
      </c>
      <c r="AL27" s="1">
        <f t="shared" si="14"/>
        <v>96.589298371121558</v>
      </c>
      <c r="AM27" s="1">
        <f t="shared" si="15"/>
        <v>1.0353113821758351E-2</v>
      </c>
      <c r="AN27" s="1">
        <f t="shared" si="16"/>
        <v>0.10175025219506019</v>
      </c>
      <c r="AO27" s="1">
        <f t="shared" si="62"/>
        <v>0.10173833063992334</v>
      </c>
      <c r="AP27" s="47">
        <f t="shared" si="49"/>
        <v>85.148878445777441</v>
      </c>
      <c r="AU27" s="1" t="s">
        <v>52</v>
      </c>
      <c r="AV27" s="12" t="s">
        <v>48</v>
      </c>
      <c r="AW27" s="12"/>
      <c r="AX27" s="12"/>
      <c r="AY27" s="12"/>
    </row>
    <row r="28" spans="1:51" ht="15.75" x14ac:dyDescent="0.25">
      <c r="A28" s="40">
        <f t="shared" si="35"/>
        <v>1.8804607908315094</v>
      </c>
      <c r="B28" s="5">
        <v>272.04570000000001</v>
      </c>
      <c r="C28" s="51">
        <v>0.77274800266285237</v>
      </c>
      <c r="D28" s="5">
        <v>3094.8006247936946</v>
      </c>
      <c r="E28" s="50">
        <f t="shared" si="36"/>
        <v>424087.96698513202</v>
      </c>
      <c r="F28" s="19">
        <f>(C28/$AT$2)*($R$5/1000)*2*$AT$2/((A28^2)*$AS$2)</f>
        <v>8.9875069120994799E-2</v>
      </c>
      <c r="G28" s="50">
        <f t="shared" si="51"/>
        <v>17.983312239939508</v>
      </c>
      <c r="H28" s="19">
        <f t="shared" si="37"/>
        <v>0.29979170956014578</v>
      </c>
      <c r="I28" s="19">
        <f t="shared" si="38"/>
        <v>3.3356492795187678</v>
      </c>
      <c r="J28" s="19">
        <f t="shared" si="39"/>
        <v>2165.9542522136803</v>
      </c>
      <c r="K28" s="19">
        <f t="shared" si="40"/>
        <v>4.6169026837845965E-4</v>
      </c>
      <c r="L28" s="19">
        <f t="shared" si="41"/>
        <v>2.1486979042630902E-2</v>
      </c>
      <c r="M28" s="19">
        <f t="shared" si="52"/>
        <v>2.1467236724189018E-2</v>
      </c>
      <c r="N28" s="19">
        <f t="shared" si="53"/>
        <v>17.966789103942755</v>
      </c>
      <c r="O28" s="19">
        <f t="shared" si="54"/>
        <v>1.8537675718761868</v>
      </c>
      <c r="P28" s="5">
        <v>268.18400000000003</v>
      </c>
      <c r="Q28" s="5">
        <v>1.338672621439934</v>
      </c>
      <c r="R28" s="5">
        <v>2317.9696713277181</v>
      </c>
      <c r="S28" s="5">
        <f t="shared" si="42"/>
        <v>418068.02069630451</v>
      </c>
      <c r="T28" s="5">
        <f>(Q28/$AT$2)*($R$5/1000)*2*$AT$2/((O28^2)*$AS$2)</f>
        <v>0.16021151635204278</v>
      </c>
      <c r="U28" s="50">
        <f t="shared" si="56"/>
        <v>47.154130612058019</v>
      </c>
      <c r="V28" s="5">
        <f t="shared" si="43"/>
        <v>0.40026430811657787</v>
      </c>
      <c r="W28" s="5">
        <f t="shared" si="44"/>
        <v>2.4983491650940501</v>
      </c>
      <c r="X28" s="5">
        <f t="shared" si="45"/>
        <v>315.02800657638028</v>
      </c>
      <c r="Y28" s="5">
        <f t="shared" si="46"/>
        <v>3.1743209464697051E-3</v>
      </c>
      <c r="Z28" s="5">
        <f t="shared" si="47"/>
        <v>5.6341112400002405E-2</v>
      </c>
      <c r="AA28" s="5">
        <f t="shared" si="57"/>
        <v>5.6326112792058361E-2</v>
      </c>
      <c r="AB28" s="50">
        <f t="shared" si="58"/>
        <v>47.141576840185323</v>
      </c>
      <c r="AC28" s="5">
        <f t="shared" si="59"/>
        <v>1.8663679988471209</v>
      </c>
      <c r="AD28" s="5">
        <v>270.00689999999997</v>
      </c>
      <c r="AE28" s="5">
        <v>2.1290293231401649</v>
      </c>
      <c r="AF28" s="5">
        <v>1850.525242338992</v>
      </c>
      <c r="AG28" s="1">
        <f t="shared" si="48"/>
        <v>420909.71220261091</v>
      </c>
      <c r="AH28" s="1">
        <f t="shared" si="60"/>
        <v>0.25137205492088599</v>
      </c>
      <c r="AI28" s="41">
        <f t="shared" si="61"/>
        <v>84.222318121869634</v>
      </c>
      <c r="AJ28" s="1">
        <f t="shared" si="12"/>
        <v>0.50137017753441016</v>
      </c>
      <c r="AK28" s="1">
        <f t="shared" si="13"/>
        <v>1.9945342679089997</v>
      </c>
      <c r="AL28" s="1">
        <f t="shared" si="14"/>
        <v>98.749355063073665</v>
      </c>
      <c r="AM28" s="1">
        <f t="shared" si="15"/>
        <v>1.0126648415691173E-2</v>
      </c>
      <c r="AN28" s="1">
        <f t="shared" si="16"/>
        <v>0.10063124969755256</v>
      </c>
      <c r="AO28" s="1">
        <f t="shared" si="62"/>
        <v>0.10061935574294112</v>
      </c>
      <c r="AP28" s="47">
        <f t="shared" si="49"/>
        <v>84.212363595497152</v>
      </c>
      <c r="AU28" s="12" t="s">
        <v>50</v>
      </c>
      <c r="AV28" s="12">
        <v>25</v>
      </c>
      <c r="AW28" s="12">
        <v>50</v>
      </c>
      <c r="AX28" s="12">
        <v>75</v>
      </c>
      <c r="AY28" s="12">
        <v>100</v>
      </c>
    </row>
    <row r="29" spans="1:51" ht="15.75" x14ac:dyDescent="0.25">
      <c r="A29" s="40">
        <f t="shared" si="35"/>
        <v>2.4962324382423628</v>
      </c>
      <c r="B29" s="5">
        <v>361.12920000000003</v>
      </c>
      <c r="C29" s="5">
        <v>1.1931096759168378</v>
      </c>
      <c r="D29" s="5">
        <v>3305.9206720955467</v>
      </c>
      <c r="E29" s="50">
        <f t="shared" si="36"/>
        <v>562958.90082793857</v>
      </c>
      <c r="F29" s="19">
        <f t="shared" si="50"/>
        <v>7.874812715513313E-2</v>
      </c>
      <c r="G29" s="50">
        <f t="shared" si="51"/>
        <v>13.83348248972654</v>
      </c>
      <c r="H29" s="19">
        <f t="shared" si="37"/>
        <v>0.280620967062572</v>
      </c>
      <c r="I29" s="19">
        <f t="shared" si="38"/>
        <v>3.5635255999136484</v>
      </c>
      <c r="J29" s="19">
        <f t="shared" si="39"/>
        <v>3660.3751636209313</v>
      </c>
      <c r="K29" s="19">
        <f t="shared" si="40"/>
        <v>2.7319604010501915E-4</v>
      </c>
      <c r="L29" s="19">
        <f t="shared" si="41"/>
        <v>1.6528643020678351E-2</v>
      </c>
      <c r="M29" s="19">
        <f t="shared" si="52"/>
        <v>1.6512754739593127E-2</v>
      </c>
      <c r="N29" s="19">
        <f t="shared" si="53"/>
        <v>13.820184951755072</v>
      </c>
      <c r="O29" s="19">
        <f t="shared" si="54"/>
        <v>2.4784816584621443</v>
      </c>
      <c r="P29" s="5">
        <v>358.56119999999999</v>
      </c>
      <c r="Q29" s="5">
        <v>2.2504149819263013</v>
      </c>
      <c r="R29" s="5">
        <v>2390.0273076621597</v>
      </c>
      <c r="S29" s="5">
        <f t="shared" si="42"/>
        <v>558955.68409186148</v>
      </c>
      <c r="T29" s="5">
        <f t="shared" si="55"/>
        <v>0.15066802757064346</v>
      </c>
      <c r="U29" s="50">
        <f t="shared" si="56"/>
        <v>43.108711518207237</v>
      </c>
      <c r="V29" s="5">
        <f t="shared" si="43"/>
        <v>0.38815979643781173</v>
      </c>
      <c r="W29" s="5">
        <f t="shared" si="44"/>
        <v>2.5762585645837563</v>
      </c>
      <c r="X29" s="5">
        <f t="shared" si="45"/>
        <v>376.92814275488149</v>
      </c>
      <c r="Y29" s="5">
        <f t="shared" si="46"/>
        <v>2.6530255679271622E-3</v>
      </c>
      <c r="Z29" s="5">
        <f t="shared" si="47"/>
        <v>5.1507529235318227E-2</v>
      </c>
      <c r="AA29" s="5">
        <f t="shared" si="57"/>
        <v>5.1495960502445225E-2</v>
      </c>
      <c r="AB29" s="50">
        <f t="shared" si="58"/>
        <v>43.09902918291651</v>
      </c>
      <c r="AC29" s="5">
        <f t="shared" si="59"/>
        <v>2.4997950363337664</v>
      </c>
      <c r="AD29" s="5">
        <v>361.64460000000003</v>
      </c>
      <c r="AE29" s="5">
        <v>3.8878597732759115</v>
      </c>
      <c r="AF29" s="5">
        <v>1833.9881350595892</v>
      </c>
      <c r="AG29" s="1">
        <f t="shared" si="48"/>
        <v>563762.35016819346</v>
      </c>
      <c r="AH29" s="1">
        <f t="shared" si="60"/>
        <v>0.25587726546749767</v>
      </c>
      <c r="AI29" s="41">
        <f t="shared" si="61"/>
        <v>85.949940540724981</v>
      </c>
      <c r="AJ29" s="1">
        <f t="shared" si="12"/>
        <v>0.50584312337670234</v>
      </c>
      <c r="AK29" s="1">
        <f t="shared" si="13"/>
        <v>1.9768974881473245</v>
      </c>
      <c r="AL29" s="1">
        <f t="shared" si="14"/>
        <v>94.819462287870536</v>
      </c>
      <c r="AM29" s="1">
        <f t="shared" si="15"/>
        <v>1.0546358056366258E-2</v>
      </c>
      <c r="AN29" s="1">
        <f t="shared" si="16"/>
        <v>0.1026954626863634</v>
      </c>
      <c r="AO29" s="1">
        <f t="shared" si="62"/>
        <v>0.10268666108282642</v>
      </c>
      <c r="AP29" s="47">
        <f t="shared" si="49"/>
        <v>85.942574126660745</v>
      </c>
      <c r="AU29" s="12">
        <v>0.02</v>
      </c>
      <c r="AV29" s="13">
        <f>$AS23/4</f>
        <v>1.3571680263507909E-4</v>
      </c>
      <c r="AW29" s="13">
        <f>$AS23/2</f>
        <v>2.7143360527015817E-4</v>
      </c>
      <c r="AX29" s="13">
        <f>$AS23*3/4</f>
        <v>4.0715040790523726E-4</v>
      </c>
      <c r="AY29" s="13">
        <f>$AS23</f>
        <v>5.4286721054031635E-4</v>
      </c>
    </row>
    <row r="30" spans="1:51" ht="15.75" x14ac:dyDescent="0.25">
      <c r="A30" s="40">
        <f t="shared" si="35"/>
        <v>2.5037951828519951</v>
      </c>
      <c r="B30" s="5">
        <v>362.22329999999999</v>
      </c>
      <c r="C30" s="5">
        <v>1.1734405320056942</v>
      </c>
      <c r="D30" s="5">
        <v>3343.6089559436409</v>
      </c>
      <c r="E30" s="50">
        <f t="shared" si="36"/>
        <v>564664.47693033027</v>
      </c>
      <c r="F30" s="19">
        <f t="shared" si="50"/>
        <v>7.6982745774839809E-2</v>
      </c>
      <c r="G30" s="50">
        <f t="shared" si="51"/>
        <v>13.201323769815939</v>
      </c>
      <c r="H30" s="19">
        <f t="shared" si="37"/>
        <v>0.27745764681269791</v>
      </c>
      <c r="I30" s="19">
        <f t="shared" si="38"/>
        <v>3.6041536843101158</v>
      </c>
      <c r="J30" s="19">
        <f t="shared" si="39"/>
        <v>4019.3301820598731</v>
      </c>
      <c r="K30" s="19">
        <f t="shared" si="40"/>
        <v>2.4879767391677892E-4</v>
      </c>
      <c r="L30" s="19">
        <f t="shared" si="41"/>
        <v>1.5773321587946493E-2</v>
      </c>
      <c r="M30" s="19">
        <f t="shared" si="52"/>
        <v>1.5757300700999972E-2</v>
      </c>
      <c r="N30" s="19">
        <f t="shared" si="53"/>
        <v>13.187915248694916</v>
      </c>
      <c r="O30" s="19">
        <f t="shared" si="54"/>
        <v>2.495295130711912</v>
      </c>
      <c r="P30" s="5">
        <v>360.99360000000001</v>
      </c>
      <c r="Q30" s="5">
        <v>2.2494248737587594</v>
      </c>
      <c r="R30" s="5">
        <v>2406.7656676184765</v>
      </c>
      <c r="S30" s="5">
        <f t="shared" si="42"/>
        <v>562747.51601897751</v>
      </c>
      <c r="T30" s="5">
        <f t="shared" si="55"/>
        <v>0.14857904618669612</v>
      </c>
      <c r="U30" s="50">
        <f t="shared" si="56"/>
        <v>42.222240400235918</v>
      </c>
      <c r="V30" s="5">
        <f t="shared" si="43"/>
        <v>0.38545952600330963</v>
      </c>
      <c r="W30" s="5">
        <f t="shared" si="44"/>
        <v>2.5943061010027129</v>
      </c>
      <c r="X30" s="5">
        <f t="shared" si="45"/>
        <v>392.92177837003607</v>
      </c>
      <c r="Y30" s="5">
        <f t="shared" si="46"/>
        <v>2.545035818956935E-3</v>
      </c>
      <c r="Z30" s="5">
        <f t="shared" si="47"/>
        <v>5.0448348030009221E-2</v>
      </c>
      <c r="AA30" s="5">
        <f t="shared" si="57"/>
        <v>5.0436776751366215E-2</v>
      </c>
      <c r="AB30" s="50">
        <f t="shared" si="58"/>
        <v>42.212555934288439</v>
      </c>
      <c r="AC30" s="5">
        <f t="shared" si="59"/>
        <v>2.5119834903783373</v>
      </c>
      <c r="AD30" s="5">
        <v>363.40789999999998</v>
      </c>
      <c r="AE30" s="5">
        <v>3.8921530845012553</v>
      </c>
      <c r="AF30" s="5">
        <v>1841.9110461111095</v>
      </c>
      <c r="AG30" s="1">
        <f t="shared" si="48"/>
        <v>566511.13212719827</v>
      </c>
      <c r="AH30" s="1">
        <f t="shared" si="60"/>
        <v>0.25368001986615019</v>
      </c>
      <c r="AI30" s="41">
        <f t="shared" si="61"/>
        <v>85.108726706687492</v>
      </c>
      <c r="AJ30" s="1">
        <f t="shared" si="12"/>
        <v>0.50366657608595611</v>
      </c>
      <c r="AK30" s="1">
        <f t="shared" si="13"/>
        <v>1.9854404629568654</v>
      </c>
      <c r="AL30" s="1">
        <f t="shared" si="14"/>
        <v>96.703114812518351</v>
      </c>
      <c r="AM30" s="1">
        <f t="shared" si="15"/>
        <v>1.0340928541327074E-2</v>
      </c>
      <c r="AN30" s="1">
        <f t="shared" si="16"/>
        <v>0.10169035618645002</v>
      </c>
      <c r="AO30" s="1">
        <f t="shared" si="62"/>
        <v>0.10168155943863801</v>
      </c>
      <c r="AP30" s="47">
        <f t="shared" si="49"/>
        <v>85.101364356573697</v>
      </c>
      <c r="AU30" s="12">
        <v>0.03</v>
      </c>
      <c r="AV30" s="13">
        <f>$AS22/4</f>
        <v>2.035752039526186E-4</v>
      </c>
      <c r="AW30" s="13">
        <f>$AS22/2</f>
        <v>4.0715040790523721E-4</v>
      </c>
      <c r="AX30" s="13">
        <f>$AS22*3/4</f>
        <v>6.1072561185785584E-4</v>
      </c>
      <c r="AY30" s="13">
        <f>$AS22</f>
        <v>8.1430081581047441E-4</v>
      </c>
    </row>
    <row r="31" spans="1:51" ht="15.75" x14ac:dyDescent="0.25">
      <c r="A31" s="40">
        <f t="shared" si="35"/>
        <v>3.7229730688151226</v>
      </c>
      <c r="B31" s="5">
        <v>538.60140000000001</v>
      </c>
      <c r="C31" s="5">
        <v>2.5911373317588877</v>
      </c>
      <c r="D31" s="5">
        <v>3345.4324622435724</v>
      </c>
      <c r="E31" s="50">
        <f t="shared" si="36"/>
        <v>839617.65520037955</v>
      </c>
      <c r="F31" s="19">
        <f t="shared" si="50"/>
        <v>7.6884811382977328E-2</v>
      </c>
      <c r="G31" s="50">
        <f t="shared" si="51"/>
        <v>13.166493296825779</v>
      </c>
      <c r="H31" s="19">
        <f t="shared" si="37"/>
        <v>0.27728110534794348</v>
      </c>
      <c r="I31" s="19">
        <f t="shared" si="38"/>
        <v>3.6064484045718146</v>
      </c>
      <c r="J31" s="19">
        <f t="shared" si="39"/>
        <v>4040.6236789542286</v>
      </c>
      <c r="K31" s="19">
        <f t="shared" si="40"/>
        <v>2.4748654649739974E-4</v>
      </c>
      <c r="L31" s="19">
        <f t="shared" si="41"/>
        <v>1.5731705136360769E-2</v>
      </c>
      <c r="M31" s="19">
        <f t="shared" si="52"/>
        <v>1.572092381769815E-2</v>
      </c>
      <c r="N31" s="19">
        <f t="shared" si="53"/>
        <v>13.15746997998429</v>
      </c>
      <c r="O31" s="19">
        <f t="shared" si="54"/>
        <v>3.7534742724203372</v>
      </c>
      <c r="P31" s="5">
        <v>543.01400000000001</v>
      </c>
      <c r="Q31" s="5">
        <v>5.1105271531928427</v>
      </c>
      <c r="R31" s="5">
        <v>2401.637851336206</v>
      </c>
      <c r="S31" s="5">
        <f t="shared" si="42"/>
        <v>846496.39124773711</v>
      </c>
      <c r="T31" s="5">
        <f t="shared" si="55"/>
        <v>0.14918622488410882</v>
      </c>
      <c r="U31" s="50">
        <f t="shared" si="56"/>
        <v>42.479914283646011</v>
      </c>
      <c r="V31" s="5">
        <f t="shared" si="43"/>
        <v>0.38624632669335357</v>
      </c>
      <c r="W31" s="5">
        <f t="shared" si="44"/>
        <v>2.5890213858109106</v>
      </c>
      <c r="X31" s="5">
        <f t="shared" si="45"/>
        <v>388.16948001364574</v>
      </c>
      <c r="Y31" s="5">
        <f t="shared" si="46"/>
        <v>2.5761942952466175E-3</v>
      </c>
      <c r="Z31" s="5">
        <f t="shared" si="47"/>
        <v>5.0756224202028834E-2</v>
      </c>
      <c r="AA31" s="5">
        <f t="shared" si="57"/>
        <v>5.0748547330933369E-2</v>
      </c>
      <c r="AB31" s="50">
        <f t="shared" si="58"/>
        <v>42.473489203151374</v>
      </c>
      <c r="AC31" s="5">
        <f t="shared" si="59"/>
        <v>3.7769539643040768</v>
      </c>
      <c r="AD31" s="5">
        <v>546.41079999999999</v>
      </c>
      <c r="AE31" s="5">
        <v>8.7775796528124328</v>
      </c>
      <c r="AF31" s="5">
        <v>1843.9991913364051</v>
      </c>
      <c r="AG31" s="1">
        <f t="shared" si="48"/>
        <v>851791.61188991251</v>
      </c>
      <c r="AH31" s="1">
        <f t="shared" si="60"/>
        <v>0.25305872025343656</v>
      </c>
      <c r="AI31" s="41">
        <f t="shared" si="61"/>
        <v>84.870389794694219</v>
      </c>
      <c r="AJ31" s="1">
        <f t="shared" si="12"/>
        <v>0.50304942128327368</v>
      </c>
      <c r="AK31" s="1">
        <f t="shared" si="13"/>
        <v>1.9878762556748615</v>
      </c>
      <c r="AL31" s="1">
        <f t="shared" si="14"/>
        <v>97.247009660524199</v>
      </c>
      <c r="AM31" s="1">
        <f t="shared" si="15"/>
        <v>1.0283092544345179E-2</v>
      </c>
      <c r="AN31" s="1">
        <f t="shared" si="16"/>
        <v>0.10140558438441731</v>
      </c>
      <c r="AO31" s="1">
        <f t="shared" si="62"/>
        <v>0.10139972664957689</v>
      </c>
      <c r="AP31" s="47">
        <f t="shared" si="49"/>
        <v>84.865487222096888</v>
      </c>
      <c r="AU31" s="12">
        <v>0.04</v>
      </c>
      <c r="AV31" s="13">
        <f>$AS21/4</f>
        <v>2.7143360527015817E-4</v>
      </c>
      <c r="AW31" s="13">
        <f>$AS21/2</f>
        <v>5.4286721054031635E-4</v>
      </c>
      <c r="AX31" s="13">
        <f>$AS21*3/4</f>
        <v>8.1430081581047452E-4</v>
      </c>
      <c r="AY31" s="13">
        <f>$AS21</f>
        <v>1.0857344210806327E-3</v>
      </c>
    </row>
    <row r="32" spans="1:51" x14ac:dyDescent="0.2">
      <c r="A32" s="40">
        <f t="shared" si="35"/>
        <v>3.7305606976954757</v>
      </c>
      <c r="B32" s="5">
        <v>539.69910000000004</v>
      </c>
      <c r="C32" s="5">
        <v>2.5735384492033608</v>
      </c>
      <c r="D32" s="5">
        <v>3363.6918446283512</v>
      </c>
      <c r="E32" s="50">
        <f t="shared" si="36"/>
        <v>841328.84328885004</v>
      </c>
      <c r="F32" s="19">
        <f t="shared" si="50"/>
        <v>7.6052299729792938E-2</v>
      </c>
      <c r="G32" s="50">
        <f t="shared" si="51"/>
        <v>12.871448608106794</v>
      </c>
      <c r="H32" s="19">
        <f t="shared" si="37"/>
        <v>0.27577581425823572</v>
      </c>
      <c r="I32" s="19">
        <f t="shared" si="38"/>
        <v>3.6261337952703956</v>
      </c>
      <c r="J32" s="19">
        <f t="shared" si="39"/>
        <v>4227.9884795672497</v>
      </c>
      <c r="K32" s="19">
        <f t="shared" si="40"/>
        <v>2.3651909290499148E-4</v>
      </c>
      <c r="L32" s="19">
        <f t="shared" si="41"/>
        <v>1.5379177250587611E-2</v>
      </c>
      <c r="M32" s="19">
        <f t="shared" si="52"/>
        <v>1.5368359131253262E-2</v>
      </c>
      <c r="N32" s="19">
        <f t="shared" si="53"/>
        <v>12.862394491311104</v>
      </c>
      <c r="O32" s="19">
        <f t="shared" si="54"/>
        <v>3.7369317622295197</v>
      </c>
      <c r="P32" s="5">
        <v>540.62080000000003</v>
      </c>
      <c r="Q32" s="5">
        <v>5.1172882628753804</v>
      </c>
      <c r="R32" s="5">
        <v>2389.4751060342032</v>
      </c>
      <c r="S32" s="5">
        <f t="shared" si="42"/>
        <v>842765.66761347698</v>
      </c>
      <c r="T32" s="5">
        <f t="shared" si="55"/>
        <v>0.1507090936329093</v>
      </c>
      <c r="U32" s="50">
        <f t="shared" si="56"/>
        <v>43.126136452034984</v>
      </c>
      <c r="V32" s="5">
        <f t="shared" si="43"/>
        <v>0.38821269123112051</v>
      </c>
      <c r="W32" s="5">
        <f t="shared" si="44"/>
        <v>2.575907543951609</v>
      </c>
      <c r="X32" s="5">
        <f t="shared" si="45"/>
        <v>376.62361183188693</v>
      </c>
      <c r="Y32" s="5">
        <f t="shared" si="46"/>
        <v>2.6551707555881252E-3</v>
      </c>
      <c r="Z32" s="5">
        <f t="shared" si="47"/>
        <v>5.152834904776326E-2</v>
      </c>
      <c r="AA32" s="5">
        <f t="shared" si="57"/>
        <v>5.152067724979642E-2</v>
      </c>
      <c r="AB32" s="50">
        <f t="shared" si="58"/>
        <v>43.119715617444612</v>
      </c>
      <c r="AC32" s="5">
        <f t="shared" si="59"/>
        <v>3.7759959198813595</v>
      </c>
      <c r="AD32" s="5">
        <v>546.2722</v>
      </c>
      <c r="AE32" s="5">
        <v>8.7938660712053096</v>
      </c>
      <c r="AF32" s="5">
        <v>1841.8236175213908</v>
      </c>
      <c r="AG32" s="1">
        <f t="shared" si="48"/>
        <v>851575.55042588583</v>
      </c>
      <c r="AH32" s="1">
        <f t="shared" si="60"/>
        <v>0.25365692626578284</v>
      </c>
      <c r="AI32" s="41">
        <f t="shared" si="61"/>
        <v>85.099871491875163</v>
      </c>
      <c r="AJ32" s="1">
        <f t="shared" si="12"/>
        <v>0.50364365007987821</v>
      </c>
      <c r="AK32" s="1">
        <f t="shared" si="13"/>
        <v>1.9855308407867336</v>
      </c>
      <c r="AL32" s="1">
        <f t="shared" si="14"/>
        <v>96.723241080465897</v>
      </c>
      <c r="AM32" s="1">
        <f t="shared" si="15"/>
        <v>1.0338776790658628E-2</v>
      </c>
      <c r="AN32" s="1">
        <f t="shared" si="16"/>
        <v>0.10167977572093001</v>
      </c>
      <c r="AO32" s="1">
        <f t="shared" si="62"/>
        <v>0.1016739234129253</v>
      </c>
      <c r="AP32" s="47">
        <f t="shared" si="49"/>
        <v>85.094973461213698</v>
      </c>
    </row>
    <row r="33" spans="1:52" s="39" customFormat="1" x14ac:dyDescent="0.2">
      <c r="A33" s="68"/>
      <c r="B33" s="66"/>
      <c r="C33" s="66"/>
      <c r="D33" s="66"/>
      <c r="E33" s="67"/>
      <c r="F33" s="69"/>
      <c r="G33" s="67">
        <f>AVERAGE(G23:G32)</f>
        <v>50.602359019699037</v>
      </c>
      <c r="H33" s="69"/>
      <c r="I33" s="69"/>
      <c r="J33" s="69"/>
      <c r="K33" s="69"/>
      <c r="L33" s="69"/>
      <c r="M33" s="69"/>
      <c r="N33" s="69">
        <f>AVERAGE(N23:N32)</f>
        <v>50.586477323032696</v>
      </c>
      <c r="O33" s="69"/>
      <c r="P33" s="66"/>
      <c r="Q33" s="66"/>
      <c r="R33" s="66"/>
      <c r="S33" s="66"/>
      <c r="T33" s="66"/>
      <c r="U33" s="67">
        <f>AVERAGE(U23:U32)</f>
        <v>59.942873372788128</v>
      </c>
      <c r="V33" s="66"/>
      <c r="W33" s="66"/>
      <c r="X33" s="66"/>
      <c r="Y33" s="66"/>
      <c r="Z33" s="66"/>
      <c r="AA33" s="66"/>
      <c r="AB33" s="67">
        <f>AVERAGE(AB23:AB32)</f>
        <v>59.928349382985559</v>
      </c>
      <c r="AC33" s="66"/>
      <c r="AD33" s="66"/>
      <c r="AE33" s="66"/>
      <c r="AF33" s="66"/>
      <c r="AI33" s="70">
        <f>AVERAGE(AI23:AI32)</f>
        <v>82.622727311137083</v>
      </c>
      <c r="AP33" s="71">
        <f>AVERAGE(AP23:AP32)</f>
        <v>82.609246182934527</v>
      </c>
    </row>
    <row r="34" spans="1:52" s="39" customFormat="1" ht="15.75" x14ac:dyDescent="0.25">
      <c r="A34" s="68"/>
      <c r="B34" s="66"/>
      <c r="C34" s="66"/>
      <c r="D34" s="66"/>
      <c r="E34" s="67"/>
      <c r="F34" s="69"/>
      <c r="G34" s="67">
        <f>STDEV(G23:G32)</f>
        <v>62.070875951683796</v>
      </c>
      <c r="H34" s="69"/>
      <c r="I34" s="69"/>
      <c r="J34" s="69"/>
      <c r="K34" s="69"/>
      <c r="L34" s="69"/>
      <c r="M34" s="69"/>
      <c r="N34" s="69">
        <f>STDEV(N23:N32)</f>
        <v>62.067635720360954</v>
      </c>
      <c r="O34" s="69"/>
      <c r="P34" s="66"/>
      <c r="Q34" s="66"/>
      <c r="R34" s="66"/>
      <c r="S34" s="66"/>
      <c r="T34" s="66"/>
      <c r="U34" s="67">
        <f>STDEV(U23:U32)</f>
        <v>31.821608801022183</v>
      </c>
      <c r="V34" s="66"/>
      <c r="W34" s="66"/>
      <c r="X34" s="66"/>
      <c r="Y34" s="66"/>
      <c r="Z34" s="66"/>
      <c r="AA34" s="66"/>
      <c r="AB34" s="67">
        <f>STDEV(AB23:AB32)</f>
        <v>31.815845912789403</v>
      </c>
      <c r="AC34" s="66"/>
      <c r="AD34" s="66"/>
      <c r="AE34" s="66"/>
      <c r="AF34" s="66"/>
      <c r="AI34" s="70">
        <f>STDEV(AI23:AI32)</f>
        <v>9.2876701468401937</v>
      </c>
      <c r="AP34" s="71">
        <f>STDEV(AP23:AP32)</f>
        <v>9.2864817761215317</v>
      </c>
      <c r="AT34" s="12" t="s">
        <v>129</v>
      </c>
      <c r="AU34" s="75">
        <v>0.25</v>
      </c>
      <c r="AV34" s="76"/>
      <c r="AX34" s="97" t="s">
        <v>132</v>
      </c>
      <c r="AY34" s="98"/>
    </row>
    <row r="35" spans="1:52" ht="15.75" x14ac:dyDescent="0.25">
      <c r="A35" s="40"/>
      <c r="B35" s="56">
        <v>0.75</v>
      </c>
      <c r="C35" s="57"/>
      <c r="D35" s="57"/>
      <c r="E35" s="57"/>
      <c r="F35" s="57"/>
      <c r="G35" s="57"/>
      <c r="H35" s="57"/>
      <c r="I35" s="57"/>
      <c r="J35" s="57"/>
      <c r="K35" s="57"/>
      <c r="L35" s="57"/>
      <c r="M35" s="57"/>
      <c r="N35" s="57"/>
      <c r="O35" s="57"/>
      <c r="P35" s="57"/>
      <c r="Q35" s="57"/>
      <c r="R35" s="57"/>
      <c r="S35" s="57"/>
      <c r="T35" s="57"/>
      <c r="U35" s="57"/>
      <c r="V35" s="57"/>
      <c r="W35" s="57"/>
      <c r="X35" s="57"/>
      <c r="Y35" s="57"/>
      <c r="Z35" s="57"/>
      <c r="AA35" s="57"/>
      <c r="AB35" s="57"/>
      <c r="AC35" s="57"/>
      <c r="AD35" s="57"/>
      <c r="AE35" s="57"/>
      <c r="AF35" s="57"/>
      <c r="AP35" s="47"/>
      <c r="AT35" s="77" t="s">
        <v>126</v>
      </c>
      <c r="AU35" s="78" t="s">
        <v>127</v>
      </c>
      <c r="AV35" s="78" t="s">
        <v>128</v>
      </c>
      <c r="AX35" s="39" t="s">
        <v>130</v>
      </c>
      <c r="AY35" s="39" t="s">
        <v>131</v>
      </c>
    </row>
    <row r="36" spans="1:52" ht="15.75" x14ac:dyDescent="0.25">
      <c r="A36" s="40"/>
      <c r="B36" s="58" t="s">
        <v>53</v>
      </c>
      <c r="C36" s="58"/>
      <c r="D36" s="58"/>
      <c r="E36" s="42"/>
      <c r="F36" s="42"/>
      <c r="G36" s="42" t="s">
        <v>123</v>
      </c>
      <c r="H36" s="42"/>
      <c r="I36" s="42"/>
      <c r="J36" s="42"/>
      <c r="K36" s="42"/>
      <c r="L36" s="42"/>
      <c r="M36" s="42"/>
      <c r="N36" s="42"/>
      <c r="O36" s="42"/>
      <c r="P36" s="58" t="s">
        <v>54</v>
      </c>
      <c r="Q36" s="58"/>
      <c r="R36" s="58"/>
      <c r="S36" s="42"/>
      <c r="T36" s="42"/>
      <c r="U36" s="42" t="s">
        <v>123</v>
      </c>
      <c r="V36" s="42"/>
      <c r="W36" s="42"/>
      <c r="X36" s="42"/>
      <c r="Y36" s="42"/>
      <c r="Z36" s="42"/>
      <c r="AA36" s="42"/>
      <c r="AB36" s="42"/>
      <c r="AC36" s="42"/>
      <c r="AD36" s="58" t="s">
        <v>55</v>
      </c>
      <c r="AE36" s="58"/>
      <c r="AF36" s="58"/>
      <c r="AI36" s="1" t="s">
        <v>123</v>
      </c>
      <c r="AP36" s="47"/>
      <c r="AS36" s="1">
        <v>20</v>
      </c>
      <c r="AT36" s="81">
        <f>AV23</f>
        <v>0.30701942345590011</v>
      </c>
      <c r="AU36" s="82">
        <f>G18</f>
        <v>2.0439592098201453</v>
      </c>
      <c r="AV36" s="82">
        <f>G19</f>
        <v>0.19101714510799075</v>
      </c>
      <c r="AX36" s="40">
        <f>A13</f>
        <v>1.2668153511655595</v>
      </c>
      <c r="AY36" s="40">
        <f>A17</f>
        <v>4.7908141116206195</v>
      </c>
    </row>
    <row r="37" spans="1:52" ht="15" x14ac:dyDescent="0.2">
      <c r="A37" s="39" t="s">
        <v>103</v>
      </c>
      <c r="B37" s="3" t="s">
        <v>8</v>
      </c>
      <c r="C37" s="4" t="s">
        <v>9</v>
      </c>
      <c r="D37" s="3" t="s">
        <v>10</v>
      </c>
      <c r="E37" s="3" t="s">
        <v>104</v>
      </c>
      <c r="F37" s="3" t="s">
        <v>105</v>
      </c>
      <c r="G37" s="3" t="s">
        <v>125</v>
      </c>
      <c r="H37" s="3" t="s">
        <v>111</v>
      </c>
      <c r="I37" s="3" t="s">
        <v>112</v>
      </c>
      <c r="J37" s="3" t="s">
        <v>113</v>
      </c>
      <c r="K37" s="3" t="s">
        <v>115</v>
      </c>
      <c r="L37" s="3" t="s">
        <v>114</v>
      </c>
      <c r="M37" s="3" t="s">
        <v>116</v>
      </c>
      <c r="N37" s="3" t="s">
        <v>118</v>
      </c>
      <c r="O37" s="3" t="s">
        <v>103</v>
      </c>
      <c r="P37" s="3" t="s">
        <v>8</v>
      </c>
      <c r="Q37" s="4" t="s">
        <v>9</v>
      </c>
      <c r="R37" s="3" t="s">
        <v>10</v>
      </c>
      <c r="S37" s="3" t="s">
        <v>104</v>
      </c>
      <c r="T37" s="3" t="s">
        <v>105</v>
      </c>
      <c r="U37" s="3" t="s">
        <v>125</v>
      </c>
      <c r="V37" s="3" t="s">
        <v>111</v>
      </c>
      <c r="W37" s="3" t="s">
        <v>112</v>
      </c>
      <c r="X37" s="3" t="s">
        <v>113</v>
      </c>
      <c r="Y37" s="3" t="s">
        <v>115</v>
      </c>
      <c r="Z37" s="3" t="s">
        <v>114</v>
      </c>
      <c r="AA37" s="3" t="s">
        <v>116</v>
      </c>
      <c r="AB37" s="3" t="s">
        <v>118</v>
      </c>
      <c r="AC37" s="3" t="s">
        <v>103</v>
      </c>
      <c r="AD37" s="3" t="s">
        <v>8</v>
      </c>
      <c r="AE37" s="4" t="s">
        <v>9</v>
      </c>
      <c r="AF37" s="3" t="s">
        <v>10</v>
      </c>
      <c r="AG37" s="46" t="s">
        <v>104</v>
      </c>
      <c r="AH37" s="46" t="s">
        <v>105</v>
      </c>
      <c r="AI37" s="46" t="s">
        <v>125</v>
      </c>
      <c r="AJ37" s="21" t="s">
        <v>111</v>
      </c>
      <c r="AK37" s="21" t="s">
        <v>112</v>
      </c>
      <c r="AL37" s="21" t="s">
        <v>113</v>
      </c>
      <c r="AM37" s="21" t="s">
        <v>115</v>
      </c>
      <c r="AN37" s="21" t="s">
        <v>114</v>
      </c>
      <c r="AO37" s="21" t="s">
        <v>116</v>
      </c>
      <c r="AP37" s="30" t="s">
        <v>118</v>
      </c>
      <c r="AS37" s="21">
        <v>30</v>
      </c>
      <c r="AT37" s="80">
        <f>AV24</f>
        <v>0.46052913518385014</v>
      </c>
      <c r="AU37" s="83">
        <f>U18</f>
        <v>16.290862909405231</v>
      </c>
      <c r="AV37" s="83">
        <f>U19</f>
        <v>0.72735615933920927</v>
      </c>
      <c r="AX37" s="74">
        <f>O13</f>
        <v>1.251644065165725</v>
      </c>
      <c r="AY37" s="74">
        <f>O17</f>
        <v>4.7701364969010438</v>
      </c>
    </row>
    <row r="38" spans="1:52" ht="15" x14ac:dyDescent="0.2">
      <c r="A38" s="40">
        <f t="shared" ref="A38:A47" si="63">(B38/3600)/(PI()*(R$5/1000/2)^2)</f>
        <v>0.62310773778801198</v>
      </c>
      <c r="B38" s="5">
        <v>90.144810000000007</v>
      </c>
      <c r="C38" s="5">
        <v>7.0357122247443657E-2</v>
      </c>
      <c r="D38" s="5">
        <v>3397.8874545395583</v>
      </c>
      <c r="E38" s="50">
        <f t="shared" ref="E38:E47" si="64">A38*R$5/1000/AW$2</f>
        <v>140525.39410533229</v>
      </c>
      <c r="F38" s="19">
        <f>(C38/$AT$2)*($R$5/1000)*2*$AT$2/((A38^2)*$AS$2)</f>
        <v>7.452666543714434E-2</v>
      </c>
      <c r="G38" s="50">
        <f>((3.7^2)/(10^(1/(F38^0.5))))^0.5*$R$5</f>
        <v>12.335700237301966</v>
      </c>
      <c r="H38" s="19">
        <f t="shared" ref="H38:H47" si="65">F38^0.5</f>
        <v>0.27299572421036988</v>
      </c>
      <c r="I38" s="19">
        <f t="shared" ref="I38:I47" si="66">1/H38</f>
        <v>3.6630610347193655</v>
      </c>
      <c r="J38" s="19">
        <f t="shared" ref="J38:J47" si="67">10^I38</f>
        <v>4603.2126149712194</v>
      </c>
      <c r="K38" s="19">
        <f t="shared" ref="K38:K47" si="68">1/J38</f>
        <v>2.1723958540338949E-4</v>
      </c>
      <c r="L38" s="19">
        <f t="shared" ref="L38:L47" si="69">K38^0.5</f>
        <v>1.4739049677757026E-2</v>
      </c>
      <c r="M38" s="19">
        <f>IF(L38-(2.51/(E38*H38))&gt;0, L38-(2.51/(E38*H38)), L38)</f>
        <v>1.4673621765202987E-2</v>
      </c>
      <c r="N38" s="5">
        <f>M38*3.7*R$5</f>
        <v>12.280941000168989</v>
      </c>
      <c r="O38" s="19">
        <f>(P38/3600)/(PI()*($R$5/1000/2)^2)</f>
        <v>0.62442114342120481</v>
      </c>
      <c r="P38" s="5">
        <v>90.334819999999993</v>
      </c>
      <c r="Q38" s="5">
        <v>0.10938393459397333</v>
      </c>
      <c r="R38" s="5">
        <v>2730.8501111917567</v>
      </c>
      <c r="S38" s="5">
        <f t="shared" ref="S38:S47" si="70">O38*$R$5/1000/$AW$2</f>
        <v>140821.59784833153</v>
      </c>
      <c r="T38" s="44">
        <f>(Q38/$AT$2)*($R$5/1000)*2*$AT$2/((O38^2)*$AS$2)</f>
        <v>0.11537939351240159</v>
      </c>
      <c r="U38" s="50">
        <f>((3.7^2)/(10^(1/(T38^0.5))))^0.5*$R$5</f>
        <v>28.229349552896931</v>
      </c>
      <c r="V38" s="44">
        <f t="shared" ref="V38:V47" si="71">T38^0.5</f>
        <v>0.33967542376863474</v>
      </c>
      <c r="W38" s="44">
        <f t="shared" ref="W38:W47" si="72">1/V38</f>
        <v>2.943986906397845</v>
      </c>
      <c r="X38" s="44">
        <f t="shared" ref="X38:X47" si="73">10^W38</f>
        <v>878.99601546349402</v>
      </c>
      <c r="Y38" s="44">
        <f t="shared" ref="Y38:Y47" si="74">1/X38</f>
        <v>1.1376615848169695E-3</v>
      </c>
      <c r="Z38" s="44">
        <f t="shared" ref="Z38:Z47" si="75">Y38^0.5</f>
        <v>3.372923931571789E-2</v>
      </c>
      <c r="AA38" s="44">
        <f>IF(Z38-(2.51/(S38*V38))&gt;0, Z38-(2.51/(S38*V38)), Z38)</f>
        <v>3.3676765780067362E-2</v>
      </c>
      <c r="AB38" s="5">
        <f>AA38*3.7*$R$5</f>
        <v>28.185432351969578</v>
      </c>
      <c r="AC38" s="44">
        <f>(AD38/3600)/(PI()*($R$5/1000/2)^2)</f>
        <v>0.62203142395640054</v>
      </c>
      <c r="AD38" s="5">
        <v>89.989099999999993</v>
      </c>
      <c r="AE38" s="5">
        <v>0.40625790767360326</v>
      </c>
      <c r="AF38" s="5">
        <v>1411.606441587073</v>
      </c>
      <c r="AG38" s="1">
        <f t="shared" ref="AG38:AG47" si="76">AC38*$R$5/1000/$AW$2</f>
        <v>140282.66011858205</v>
      </c>
      <c r="AH38" s="1">
        <f>(AE38/$AT$2)*($R$5/1000)*2*$AT$2/((AC38^2)*$AS$2)</f>
        <v>0.43182431070037253</v>
      </c>
      <c r="AI38" s="41">
        <f>((3.7^2)/(10^(1/(AH38^0.5))))^0.5*$R$5</f>
        <v>145.14892177006911</v>
      </c>
      <c r="AJ38" s="1">
        <f t="shared" si="12"/>
        <v>0.65713340403632847</v>
      </c>
      <c r="AK38" s="1">
        <f t="shared" si="13"/>
        <v>1.5217610212137638</v>
      </c>
      <c r="AL38" s="1">
        <f t="shared" si="14"/>
        <v>33.247655141210515</v>
      </c>
      <c r="AM38" s="1">
        <f t="shared" si="15"/>
        <v>3.0077309083987057E-2</v>
      </c>
      <c r="AN38" s="1">
        <f t="shared" si="16"/>
        <v>0.17342810926717461</v>
      </c>
      <c r="AO38" s="1">
        <f>IF(AN38-(2.51/(AG38*AJ38))&gt;0, AN38-(2.51/(AG38*AJ38)), AN38)</f>
        <v>0.17340088123941966</v>
      </c>
      <c r="AP38" s="47">
        <f t="shared" ref="AP38:AP47" si="77">AO38*3.7*R$5</f>
        <v>145.12613354451989</v>
      </c>
      <c r="AS38" s="21">
        <v>40</v>
      </c>
      <c r="AT38" s="93">
        <f>AV25</f>
        <v>0.61403884691180022</v>
      </c>
      <c r="AU38" s="94">
        <f>AI18</f>
        <v>41.426284085439995</v>
      </c>
      <c r="AV38" s="83">
        <f>AI19</f>
        <v>2.9069817171061483</v>
      </c>
      <c r="AX38" s="95">
        <f>AC13</f>
        <v>1.2537128768929751</v>
      </c>
      <c r="AY38" s="95">
        <f>AC17</f>
        <v>4.7563514204213275</v>
      </c>
    </row>
    <row r="39" spans="1:52" ht="15.75" x14ac:dyDescent="0.25">
      <c r="A39" s="40">
        <f t="shared" si="63"/>
        <v>0.62273004985686276</v>
      </c>
      <c r="B39" s="5">
        <v>90.090170000000001</v>
      </c>
      <c r="C39" s="5">
        <v>7.0891885663057735E-2</v>
      </c>
      <c r="D39" s="5">
        <v>3383.0020333878947</v>
      </c>
      <c r="E39" s="50">
        <f t="shared" si="64"/>
        <v>140440.21662773914</v>
      </c>
      <c r="F39" s="19">
        <f t="shared" ref="F39:F47" si="78">(C39/$AT$2)*($R$5/1000)*2*$AT$2/((A39^2)*$AS$2)</f>
        <v>7.5184236399459606E-2</v>
      </c>
      <c r="G39" s="50">
        <f t="shared" ref="G39:G47" si="79">((3.7^2)/(10^(1/(F39^0.5))))^0.5*$R$5</f>
        <v>12.565818930284577</v>
      </c>
      <c r="H39" s="19">
        <f t="shared" si="65"/>
        <v>0.27419744054140915</v>
      </c>
      <c r="I39" s="19">
        <f t="shared" si="66"/>
        <v>3.6470070545716147</v>
      </c>
      <c r="J39" s="19">
        <f t="shared" si="67"/>
        <v>4436.1584985850559</v>
      </c>
      <c r="K39" s="19">
        <f t="shared" si="68"/>
        <v>2.2542025951483859E-4</v>
      </c>
      <c r="L39" s="19">
        <f t="shared" si="69"/>
        <v>1.5014002115186963E-2</v>
      </c>
      <c r="M39" s="19">
        <f t="shared" ref="M39:M47" si="80">IF(L39-(2.51/(E39*H39))&gt;0, L39-(2.51/(E39*H39)), L39)</f>
        <v>1.4948821443106122E-2</v>
      </c>
      <c r="N39" s="5">
        <f t="shared" ref="N39:N47" si="81">M39*3.7*R$5</f>
        <v>12.511266618593238</v>
      </c>
      <c r="O39" s="19">
        <f t="shared" ref="O39:O47" si="82">(P39/3600)/(PI()*($R$5/1000/2)^2)</f>
        <v>0.62507649833980383</v>
      </c>
      <c r="P39" s="5">
        <v>90.429630000000003</v>
      </c>
      <c r="Q39" s="5">
        <v>8.2222037633675915E-2</v>
      </c>
      <c r="R39" s="5">
        <v>3153.0776888140927</v>
      </c>
      <c r="S39" s="5">
        <f t="shared" si="70"/>
        <v>140969.39573725185</v>
      </c>
      <c r="T39" s="44">
        <f t="shared" ref="T39:T47" si="83">(Q39/$AT$2)*($R$5/1000)*2*$AT$2/((O39^2)*$AS$2)</f>
        <v>8.6546957516400416E-2</v>
      </c>
      <c r="U39" s="50">
        <f t="shared" ref="U39:U47" si="84">((3.7^2)/(10^(1/(T39^0.5))))^0.5*$R$5</f>
        <v>16.714930711773548</v>
      </c>
      <c r="V39" s="44">
        <f t="shared" si="71"/>
        <v>0.29418864273863532</v>
      </c>
      <c r="W39" s="44">
        <f t="shared" si="72"/>
        <v>3.3991794880009203</v>
      </c>
      <c r="X39" s="44">
        <f t="shared" si="73"/>
        <v>2507.1452079497963</v>
      </c>
      <c r="Y39" s="44">
        <f t="shared" si="74"/>
        <v>3.9886002487177214E-4</v>
      </c>
      <c r="Z39" s="44">
        <f t="shared" si="75"/>
        <v>1.9971480287444197E-2</v>
      </c>
      <c r="AA39" s="44">
        <f t="shared" ref="AA39:AA47" si="85">IF(Z39-(2.51/(S39*V39))&gt;0, Z39-(2.51/(S39*V39)), Z39)</f>
        <v>1.991095693434148E-2</v>
      </c>
      <c r="AB39" s="5">
        <f t="shared" ref="AB39:AB47" si="86">AA39*3.7*$R$5</f>
        <v>16.664276296627758</v>
      </c>
      <c r="AC39" s="44">
        <f t="shared" ref="AC39:AC47" si="87">(AD39/3600)/(PI()*($R$5/1000/2)^2)</f>
        <v>0.62279226053366266</v>
      </c>
      <c r="AD39" s="5">
        <v>90.099170000000001</v>
      </c>
      <c r="AE39" s="5">
        <v>0.41283716091648082</v>
      </c>
      <c r="AF39" s="5">
        <v>1402.0205529793977</v>
      </c>
      <c r="AG39" s="1">
        <f t="shared" si="76"/>
        <v>140454.24659293567</v>
      </c>
      <c r="AH39" s="1">
        <f t="shared" ref="AH39:AH47" si="88">(AE39/$AT$2)*($R$5/1000)*2*$AT$2/((AC39^2)*$AS$2)</f>
        <v>0.43774609440395107</v>
      </c>
      <c r="AI39" s="41">
        <f t="shared" ref="AI39:AI47" si="89">((3.7^2)/(10^(1/(AH39^0.5))))^0.5*$R$5</f>
        <v>146.88515117299505</v>
      </c>
      <c r="AJ39" s="1">
        <f t="shared" si="12"/>
        <v>0.6616238314963806</v>
      </c>
      <c r="AK39" s="1">
        <f t="shared" si="13"/>
        <v>1.5114328601772418</v>
      </c>
      <c r="AL39" s="1">
        <f t="shared" si="14"/>
        <v>32.466304695385787</v>
      </c>
      <c r="AM39" s="1">
        <f t="shared" si="15"/>
        <v>3.080116475781499E-2</v>
      </c>
      <c r="AN39" s="1">
        <f t="shared" si="16"/>
        <v>0.1755026061282709</v>
      </c>
      <c r="AO39" s="1">
        <f t="shared" ref="AO39:AO47" si="90">IF(AN39-(2.51/(AG39*AJ39))&gt;0, AN39-(2.51/(AG39*AJ39)), AN39)</f>
        <v>0.17547559593405412</v>
      </c>
      <c r="AP39" s="47">
        <f t="shared" si="77"/>
        <v>146.86254526104725</v>
      </c>
      <c r="AT39" s="78"/>
      <c r="AU39" s="78"/>
      <c r="AV39" s="78"/>
      <c r="AW39" s="78"/>
      <c r="AX39" s="78"/>
      <c r="AY39" s="78"/>
      <c r="AZ39" s="78"/>
    </row>
    <row r="40" spans="1:52" ht="15.75" x14ac:dyDescent="0.25">
      <c r="A40" s="40">
        <f t="shared" si="63"/>
        <v>1.2330197615510892</v>
      </c>
      <c r="B40" s="5">
        <v>178.38059999999999</v>
      </c>
      <c r="C40" s="5">
        <v>0.24241306495867959</v>
      </c>
      <c r="D40" s="5">
        <v>3616.7811060465287</v>
      </c>
      <c r="E40" s="50">
        <f t="shared" si="64"/>
        <v>278074.84552627755</v>
      </c>
      <c r="F40" s="55">
        <f t="shared" si="78"/>
        <v>6.5576141556600409E-2</v>
      </c>
      <c r="G40" s="50">
        <f t="shared" si="79"/>
        <v>9.3361367813044911</v>
      </c>
      <c r="H40" s="19">
        <f t="shared" si="65"/>
        <v>0.25607838947595796</v>
      </c>
      <c r="I40" s="19">
        <f t="shared" si="66"/>
        <v>3.9050542376746926</v>
      </c>
      <c r="J40" s="19">
        <f t="shared" si="67"/>
        <v>8036.2647830738151</v>
      </c>
      <c r="K40" s="19">
        <f t="shared" si="68"/>
        <v>1.2443591979525431E-4</v>
      </c>
      <c r="L40" s="19">
        <f t="shared" si="69"/>
        <v>1.11550849299884E-2</v>
      </c>
      <c r="M40" s="19">
        <f t="shared" si="80"/>
        <v>1.1119836556055069E-2</v>
      </c>
      <c r="N40" s="5">
        <f t="shared" si="81"/>
        <v>9.3066360072247303</v>
      </c>
      <c r="O40" s="19">
        <f t="shared" si="82"/>
        <v>1.2423423770844149</v>
      </c>
      <c r="P40" s="5">
        <v>179.72929999999999</v>
      </c>
      <c r="Q40" s="5">
        <v>0.54379841531219308</v>
      </c>
      <c r="R40" s="5">
        <v>2433.0295980154692</v>
      </c>
      <c r="S40" s="5">
        <f t="shared" si="70"/>
        <v>280177.31375522894</v>
      </c>
      <c r="T40" s="44">
        <f t="shared" si="83"/>
        <v>0.14490562676733798</v>
      </c>
      <c r="U40" s="50">
        <f t="shared" si="84"/>
        <v>40.66328716351827</v>
      </c>
      <c r="V40" s="44">
        <f t="shared" si="71"/>
        <v>0.38066471699822402</v>
      </c>
      <c r="W40" s="44">
        <f t="shared" si="72"/>
        <v>2.6269836823481212</v>
      </c>
      <c r="X40" s="44">
        <f t="shared" si="73"/>
        <v>423.62704890377302</v>
      </c>
      <c r="Y40" s="44">
        <f t="shared" si="74"/>
        <v>2.3605669245807537E-3</v>
      </c>
      <c r="Z40" s="44">
        <f t="shared" si="75"/>
        <v>4.8585665834490255E-2</v>
      </c>
      <c r="AA40" s="44">
        <f t="shared" si="85"/>
        <v>4.8562131705497731E-2</v>
      </c>
      <c r="AB40" s="5">
        <f t="shared" si="86"/>
        <v>40.643590509599271</v>
      </c>
      <c r="AC40" s="44">
        <f t="shared" si="87"/>
        <v>1.2566770994785803</v>
      </c>
      <c r="AD40" s="5">
        <v>181.8031</v>
      </c>
      <c r="AE40" s="5">
        <v>1.032677583042652</v>
      </c>
      <c r="AF40" s="5">
        <v>1785.9061625355848</v>
      </c>
      <c r="AG40" s="1">
        <f t="shared" si="76"/>
        <v>283410.12951351429</v>
      </c>
      <c r="AH40" s="1">
        <f t="shared" si="88"/>
        <v>0.26893495820435953</v>
      </c>
      <c r="AI40" s="41">
        <f t="shared" si="89"/>
        <v>90.895084267752722</v>
      </c>
      <c r="AJ40" s="1">
        <f t="shared" si="12"/>
        <v>0.51858939268399962</v>
      </c>
      <c r="AK40" s="1">
        <f t="shared" si="13"/>
        <v>1.9283078560948237</v>
      </c>
      <c r="AL40" s="1">
        <f t="shared" si="14"/>
        <v>84.78281967901394</v>
      </c>
      <c r="AM40" s="1">
        <f t="shared" si="15"/>
        <v>1.1794842443150393E-2</v>
      </c>
      <c r="AN40" s="1">
        <f t="shared" si="16"/>
        <v>0.10860406273777419</v>
      </c>
      <c r="AO40" s="1">
        <f t="shared" si="90"/>
        <v>0.10858698482765465</v>
      </c>
      <c r="AP40" s="47">
        <f t="shared" si="77"/>
        <v>90.880791081657279</v>
      </c>
      <c r="AT40" s="12" t="s">
        <v>129</v>
      </c>
      <c r="AU40" s="75">
        <v>0.5</v>
      </c>
      <c r="AV40" s="76"/>
      <c r="AX40" s="97" t="s">
        <v>132</v>
      </c>
      <c r="AY40" s="98"/>
    </row>
    <row r="41" spans="1:52" ht="15.75" x14ac:dyDescent="0.25">
      <c r="A41" s="40">
        <f t="shared" si="63"/>
        <v>1.232618157070859</v>
      </c>
      <c r="B41" s="5">
        <v>178.32249999999999</v>
      </c>
      <c r="C41" s="5">
        <v>0.24860462660310112</v>
      </c>
      <c r="D41" s="5">
        <v>3570.297288338083</v>
      </c>
      <c r="E41" s="50">
        <f t="shared" si="64"/>
        <v>277984.27430650877</v>
      </c>
      <c r="F41" s="55">
        <f t="shared" si="78"/>
        <v>6.7294875841774529E-2</v>
      </c>
      <c r="G41" s="50">
        <f t="shared" si="79"/>
        <v>9.8915098002183548</v>
      </c>
      <c r="H41" s="19">
        <f t="shared" si="65"/>
        <v>0.25941255914426065</v>
      </c>
      <c r="I41" s="19">
        <f t="shared" si="66"/>
        <v>3.8548634780781561</v>
      </c>
      <c r="J41" s="19">
        <f t="shared" si="67"/>
        <v>7159.1832351870735</v>
      </c>
      <c r="K41" s="19">
        <f t="shared" si="68"/>
        <v>1.3968073831174534E-4</v>
      </c>
      <c r="L41" s="19">
        <f t="shared" si="69"/>
        <v>1.1818660597197354E-2</v>
      </c>
      <c r="M41" s="19">
        <f t="shared" si="80"/>
        <v>1.1783853925654101E-2</v>
      </c>
      <c r="N41" s="5">
        <f t="shared" si="81"/>
        <v>9.8623787045369422</v>
      </c>
      <c r="O41" s="19">
        <f t="shared" si="82"/>
        <v>1.244425743527467</v>
      </c>
      <c r="P41" s="5">
        <v>180.0307</v>
      </c>
      <c r="Q41" s="5">
        <v>0.55035791007950685</v>
      </c>
      <c r="R41" s="5">
        <v>2422.5363604289196</v>
      </c>
      <c r="S41" s="5">
        <f t="shared" si="70"/>
        <v>280647.1617008106</v>
      </c>
      <c r="T41" s="44">
        <f t="shared" si="83"/>
        <v>0.14616289968378723</v>
      </c>
      <c r="U41" s="50">
        <f t="shared" si="84"/>
        <v>41.196841583982959</v>
      </c>
      <c r="V41" s="44">
        <f t="shared" si="71"/>
        <v>0.38231256804320107</v>
      </c>
      <c r="W41" s="44">
        <f t="shared" si="72"/>
        <v>2.615660806335304</v>
      </c>
      <c r="X41" s="44">
        <f t="shared" si="73"/>
        <v>412.7250286359037</v>
      </c>
      <c r="Y41" s="44">
        <f t="shared" si="74"/>
        <v>2.4229206629534854E-3</v>
      </c>
      <c r="Z41" s="44">
        <f t="shared" si="75"/>
        <v>4.9223172012310273E-2</v>
      </c>
      <c r="AA41" s="44">
        <f t="shared" si="85"/>
        <v>4.9199778550626523E-2</v>
      </c>
      <c r="AB41" s="5">
        <f t="shared" si="86"/>
        <v>41.177262660161361</v>
      </c>
      <c r="AC41" s="44">
        <f t="shared" si="87"/>
        <v>1.2565277938542605</v>
      </c>
      <c r="AD41" s="5">
        <v>181.78149999999999</v>
      </c>
      <c r="AE41" s="5">
        <v>1.0376600319604854</v>
      </c>
      <c r="AF41" s="5">
        <v>1781.4020363140112</v>
      </c>
      <c r="AG41" s="1">
        <f t="shared" si="76"/>
        <v>283376.45759704261</v>
      </c>
      <c r="AH41" s="1">
        <f t="shared" si="88"/>
        <v>0.27029673599146881</v>
      </c>
      <c r="AI41" s="41">
        <f t="shared" si="89"/>
        <v>91.405474578896872</v>
      </c>
      <c r="AJ41" s="1">
        <f t="shared" si="12"/>
        <v>0.51990069820252094</v>
      </c>
      <c r="AK41" s="1">
        <f t="shared" si="13"/>
        <v>1.923444233595667</v>
      </c>
      <c r="AL41" s="1">
        <f t="shared" si="14"/>
        <v>83.83864171161801</v>
      </c>
      <c r="AM41" s="1">
        <f t="shared" si="15"/>
        <v>1.1927674155787571E-2</v>
      </c>
      <c r="AN41" s="1">
        <f t="shared" si="16"/>
        <v>0.10921389177109096</v>
      </c>
      <c r="AO41" s="1">
        <f t="shared" si="90"/>
        <v>0.10919685491112291</v>
      </c>
      <c r="AP41" s="47">
        <f t="shared" si="77"/>
        <v>91.391215749315208</v>
      </c>
      <c r="AT41" s="77" t="s">
        <v>126</v>
      </c>
      <c r="AU41" s="78" t="s">
        <v>127</v>
      </c>
      <c r="AV41" s="78" t="s">
        <v>128</v>
      </c>
      <c r="AX41" s="39" t="s">
        <v>130</v>
      </c>
      <c r="AY41" s="39" t="s">
        <v>131</v>
      </c>
    </row>
    <row r="42" spans="1:52" ht="15.75" x14ac:dyDescent="0.25">
      <c r="A42" s="40">
        <f t="shared" si="63"/>
        <v>1.8750429321119866</v>
      </c>
      <c r="B42" s="5">
        <v>271.26190000000003</v>
      </c>
      <c r="C42" s="5">
        <v>0.68344671673787261</v>
      </c>
      <c r="D42" s="5">
        <v>3281.3056769087907</v>
      </c>
      <c r="E42" s="50">
        <f t="shared" si="64"/>
        <v>422866.11290501629</v>
      </c>
      <c r="F42" s="19">
        <f t="shared" si="78"/>
        <v>7.9948835155833328E-2</v>
      </c>
      <c r="G42" s="50">
        <f t="shared" si="79"/>
        <v>14.267957380112628</v>
      </c>
      <c r="H42" s="19">
        <f t="shared" si="65"/>
        <v>0.28275225048765451</v>
      </c>
      <c r="I42" s="19">
        <f t="shared" si="66"/>
        <v>3.5366650425428245</v>
      </c>
      <c r="J42" s="19">
        <f t="shared" si="67"/>
        <v>3440.8444705723045</v>
      </c>
      <c r="K42" s="19">
        <f t="shared" si="68"/>
        <v>2.9062632983050036E-4</v>
      </c>
      <c r="L42" s="19">
        <f t="shared" si="69"/>
        <v>1.7047766124348971E-2</v>
      </c>
      <c r="M42" s="19">
        <f t="shared" si="80"/>
        <v>1.7026773595068725E-2</v>
      </c>
      <c r="N42" s="5">
        <f t="shared" si="81"/>
        <v>14.250387892656818</v>
      </c>
      <c r="O42" s="19">
        <f t="shared" si="82"/>
        <v>1.8861440817720452</v>
      </c>
      <c r="P42" s="5">
        <v>272.86790000000002</v>
      </c>
      <c r="Q42" s="5">
        <v>1.547318456258864</v>
      </c>
      <c r="R42" s="5">
        <v>2193.6728783762719</v>
      </c>
      <c r="S42" s="5">
        <f t="shared" si="70"/>
        <v>425369.68225008633</v>
      </c>
      <c r="T42" s="44">
        <f t="shared" si="83"/>
        <v>0.17887921749434035</v>
      </c>
      <c r="U42" s="50">
        <f t="shared" si="84"/>
        <v>55.016981333721112</v>
      </c>
      <c r="V42" s="44">
        <f t="shared" si="71"/>
        <v>0.42294115133708654</v>
      </c>
      <c r="W42" s="44">
        <f t="shared" si="72"/>
        <v>2.3643951335513207</v>
      </c>
      <c r="X42" s="44">
        <f t="shared" si="73"/>
        <v>231.4169330144758</v>
      </c>
      <c r="Y42" s="44">
        <f t="shared" si="74"/>
        <v>4.3212049653144746E-3</v>
      </c>
      <c r="Z42" s="44">
        <f t="shared" si="75"/>
        <v>6.5735872743232629E-2</v>
      </c>
      <c r="AA42" s="44">
        <f t="shared" si="85"/>
        <v>6.5721921039496201E-2</v>
      </c>
      <c r="AB42" s="5">
        <f t="shared" si="86"/>
        <v>55.005304594795952</v>
      </c>
      <c r="AC42" s="44">
        <f t="shared" si="87"/>
        <v>1.8638090663414215</v>
      </c>
      <c r="AD42" s="5">
        <v>269.63670000000002</v>
      </c>
      <c r="AE42" s="5">
        <v>2.483166879832571</v>
      </c>
      <c r="AF42" s="5">
        <v>1711.1467038966005</v>
      </c>
      <c r="AG42" s="1">
        <f t="shared" si="76"/>
        <v>420332.61296752695</v>
      </c>
      <c r="AH42" s="1">
        <f t="shared" si="88"/>
        <v>0.29399028426236495</v>
      </c>
      <c r="AI42" s="41">
        <f t="shared" si="89"/>
        <v>100.12446199769097</v>
      </c>
      <c r="AJ42" s="1">
        <f t="shared" si="12"/>
        <v>0.54220870913548125</v>
      </c>
      <c r="AK42" s="1">
        <f t="shared" si="13"/>
        <v>1.8443082583355017</v>
      </c>
      <c r="AL42" s="1">
        <f t="shared" si="14"/>
        <v>69.872817911461837</v>
      </c>
      <c r="AM42" s="1">
        <f t="shared" si="15"/>
        <v>1.4311717058085923E-2</v>
      </c>
      <c r="AN42" s="1">
        <f t="shared" si="16"/>
        <v>0.11963158888055413</v>
      </c>
      <c r="AO42" s="1">
        <f t="shared" si="90"/>
        <v>0.11962057566486349</v>
      </c>
      <c r="AP42" s="47">
        <f t="shared" si="77"/>
        <v>100.11524459695084</v>
      </c>
      <c r="AS42" s="1">
        <v>20</v>
      </c>
      <c r="AT42" s="95">
        <f>AW23</f>
        <v>0.61403884691180022</v>
      </c>
      <c r="AU42" s="96">
        <f>G33</f>
        <v>50.602359019699037</v>
      </c>
      <c r="AV42" s="82">
        <f>G34</f>
        <v>62.070875951683796</v>
      </c>
      <c r="AX42" s="95">
        <f>A23</f>
        <v>0.61739921696188527</v>
      </c>
      <c r="AY42" s="95">
        <f>A32</f>
        <v>3.7305606976954757</v>
      </c>
    </row>
    <row r="43" spans="1:52" ht="15.75" x14ac:dyDescent="0.25">
      <c r="A43" s="40">
        <f t="shared" si="63"/>
        <v>1.8660804472743575</v>
      </c>
      <c r="B43" s="5">
        <v>269.96530000000001</v>
      </c>
      <c r="C43" s="5">
        <v>0.69198401280945088</v>
      </c>
      <c r="D43" s="5">
        <v>3245.4200332870814</v>
      </c>
      <c r="E43" s="50">
        <f t="shared" si="64"/>
        <v>420844.86258570262</v>
      </c>
      <c r="F43" s="19">
        <f t="shared" si="78"/>
        <v>8.1726941647672052E-2</v>
      </c>
      <c r="G43" s="50">
        <f t="shared" si="79"/>
        <v>14.917776828614699</v>
      </c>
      <c r="H43" s="19">
        <f t="shared" si="65"/>
        <v>0.28587924312141316</v>
      </c>
      <c r="I43" s="19">
        <f t="shared" si="66"/>
        <v>3.4979804377588168</v>
      </c>
      <c r="J43" s="19">
        <f t="shared" si="67"/>
        <v>3147.6065309853429</v>
      </c>
      <c r="K43" s="19">
        <f t="shared" si="68"/>
        <v>3.1770171721144408E-4</v>
      </c>
      <c r="L43" s="19">
        <f t="shared" si="69"/>
        <v>1.7824189103895976E-2</v>
      </c>
      <c r="M43" s="19">
        <f t="shared" si="80"/>
        <v>1.7803326473317976E-2</v>
      </c>
      <c r="N43" s="5">
        <f t="shared" si="81"/>
        <v>14.900316058578749</v>
      </c>
      <c r="O43" s="19">
        <f t="shared" si="82"/>
        <v>1.8847560924496667</v>
      </c>
      <c r="P43" s="5">
        <v>272.6671</v>
      </c>
      <c r="Q43" s="5">
        <v>1.5378544204764519</v>
      </c>
      <c r="R43" s="5">
        <v>2198.793857055216</v>
      </c>
      <c r="S43" s="5">
        <f t="shared" si="70"/>
        <v>425056.65813770145</v>
      </c>
      <c r="T43" s="44">
        <f t="shared" si="83"/>
        <v>0.17804706736731915</v>
      </c>
      <c r="U43" s="50">
        <f t="shared" si="84"/>
        <v>54.668520619018679</v>
      </c>
      <c r="V43" s="44">
        <f t="shared" si="71"/>
        <v>0.42195623868751975</v>
      </c>
      <c r="W43" s="44">
        <f t="shared" si="72"/>
        <v>2.3699140060364208</v>
      </c>
      <c r="X43" s="44">
        <f t="shared" si="73"/>
        <v>234.37646842317542</v>
      </c>
      <c r="Y43" s="44">
        <f t="shared" si="74"/>
        <v>4.2666399350060301E-3</v>
      </c>
      <c r="Z43" s="44">
        <f t="shared" si="75"/>
        <v>6.5319521852245904E-2</v>
      </c>
      <c r="AA43" s="44">
        <f t="shared" si="85"/>
        <v>6.5305527284601178E-2</v>
      </c>
      <c r="AB43" s="5">
        <f t="shared" si="86"/>
        <v>54.656808005574113</v>
      </c>
      <c r="AC43" s="44">
        <f t="shared" si="87"/>
        <v>1.8804559522233137</v>
      </c>
      <c r="AD43" s="5">
        <v>272.04500000000002</v>
      </c>
      <c r="AE43" s="5">
        <v>2.5141986570424382</v>
      </c>
      <c r="AF43" s="5">
        <v>1715.7369699711555</v>
      </c>
      <c r="AG43" s="1">
        <f t="shared" si="76"/>
        <v>424086.87576561671</v>
      </c>
      <c r="AH43" s="1">
        <f t="shared" si="88"/>
        <v>0.2924173730179912</v>
      </c>
      <c r="AI43" s="41">
        <f t="shared" si="89"/>
        <v>99.555072052550528</v>
      </c>
      <c r="AJ43" s="1">
        <f t="shared" si="12"/>
        <v>0.54075629725227536</v>
      </c>
      <c r="AK43" s="1">
        <f t="shared" si="13"/>
        <v>1.8492618672797014</v>
      </c>
      <c r="AL43" s="1">
        <f t="shared" si="14"/>
        <v>70.674357218103552</v>
      </c>
      <c r="AM43" s="1">
        <f t="shared" si="15"/>
        <v>1.414940353704194E-2</v>
      </c>
      <c r="AN43" s="1">
        <f t="shared" si="16"/>
        <v>0.118951265386468</v>
      </c>
      <c r="AO43" s="1">
        <f t="shared" si="90"/>
        <v>0.11894032034772212</v>
      </c>
      <c r="AP43" s="47">
        <f t="shared" si="77"/>
        <v>99.545911711822555</v>
      </c>
      <c r="AS43" s="1">
        <v>30</v>
      </c>
      <c r="AT43" s="89">
        <f t="shared" ref="AT43:AT44" si="91">AW24</f>
        <v>0.92105827036770027</v>
      </c>
      <c r="AU43" s="90">
        <f>U33</f>
        <v>59.942873372788128</v>
      </c>
      <c r="AV43" s="82">
        <f>U34</f>
        <v>31.821608801022183</v>
      </c>
      <c r="AX43" s="99">
        <f>O23</f>
        <v>0.620109459658157</v>
      </c>
      <c r="AY43" s="99">
        <f>O32</f>
        <v>3.7369317622295197</v>
      </c>
    </row>
    <row r="44" spans="1:52" ht="15.75" x14ac:dyDescent="0.25">
      <c r="A44" s="40">
        <f t="shared" si="63"/>
        <v>2.4988577288033156</v>
      </c>
      <c r="B44" s="5">
        <v>361.50900000000001</v>
      </c>
      <c r="C44" s="5">
        <v>1.3750854860054635</v>
      </c>
      <c r="D44" s="5">
        <v>3082.6494686340357</v>
      </c>
      <c r="E44" s="50">
        <f t="shared" si="64"/>
        <v>563550.96535923227</v>
      </c>
      <c r="F44" s="19">
        <f t="shared" si="78"/>
        <v>9.0568369294139986E-2</v>
      </c>
      <c r="G44" s="50">
        <f t="shared" si="79"/>
        <v>18.250112287666557</v>
      </c>
      <c r="H44" s="19">
        <f t="shared" si="65"/>
        <v>0.30094579128829829</v>
      </c>
      <c r="I44" s="19">
        <f t="shared" si="66"/>
        <v>3.322857567534566</v>
      </c>
      <c r="J44" s="19">
        <f t="shared" si="67"/>
        <v>2103.0885916764846</v>
      </c>
      <c r="K44" s="19">
        <f t="shared" si="68"/>
        <v>4.7549114381474839E-4</v>
      </c>
      <c r="L44" s="19">
        <f t="shared" si="69"/>
        <v>2.1805759418436873E-2</v>
      </c>
      <c r="M44" s="19">
        <f t="shared" si="80"/>
        <v>2.1790959741021371E-2</v>
      </c>
      <c r="N44" s="5">
        <f t="shared" si="81"/>
        <v>18.237725845650427</v>
      </c>
      <c r="O44" s="19">
        <f t="shared" si="82"/>
        <v>2.4776065616084932</v>
      </c>
      <c r="P44" s="5">
        <v>358.43459999999999</v>
      </c>
      <c r="Q44" s="5">
        <v>2.718023975383018</v>
      </c>
      <c r="R44" s="5">
        <v>2173.9732855056473</v>
      </c>
      <c r="S44" s="5">
        <f t="shared" si="70"/>
        <v>558758.32924809691</v>
      </c>
      <c r="T44" s="44">
        <f t="shared" si="83"/>
        <v>0.18210359073179413</v>
      </c>
      <c r="U44" s="50">
        <f t="shared" si="84"/>
        <v>56.365017934877876</v>
      </c>
      <c r="V44" s="44">
        <f t="shared" si="71"/>
        <v>0.42673597309319278</v>
      </c>
      <c r="W44" s="44">
        <f t="shared" si="72"/>
        <v>2.3433693502600845</v>
      </c>
      <c r="X44" s="44">
        <f t="shared" si="73"/>
        <v>220.48007616763365</v>
      </c>
      <c r="Y44" s="44">
        <f t="shared" si="74"/>
        <v>4.5355572139755976E-3</v>
      </c>
      <c r="Z44" s="44">
        <f t="shared" si="75"/>
        <v>6.7346545672184233E-2</v>
      </c>
      <c r="AA44" s="44">
        <f t="shared" si="85"/>
        <v>6.7336019015557802E-2</v>
      </c>
      <c r="AB44" s="5">
        <f t="shared" si="86"/>
        <v>56.356207754880941</v>
      </c>
      <c r="AC44" s="44">
        <f t="shared" si="87"/>
        <v>2.5002325847605915</v>
      </c>
      <c r="AD44" s="5">
        <v>361.7079</v>
      </c>
      <c r="AE44" s="5">
        <v>4.4432582786564412</v>
      </c>
      <c r="AF44" s="5">
        <v>1715.8409438607534</v>
      </c>
      <c r="AG44" s="1">
        <f t="shared" si="76"/>
        <v>563861.02759007551</v>
      </c>
      <c r="AH44" s="1">
        <f t="shared" si="88"/>
        <v>0.2923281566487726</v>
      </c>
      <c r="AI44" s="41">
        <f t="shared" si="89"/>
        <v>99.522735945984607</v>
      </c>
      <c r="AJ44" s="1">
        <f t="shared" si="12"/>
        <v>0.54067379874446719</v>
      </c>
      <c r="AK44" s="1">
        <f t="shared" si="13"/>
        <v>1.8495440362047564</v>
      </c>
      <c r="AL44" s="1">
        <f t="shared" si="14"/>
        <v>70.720290537573135</v>
      </c>
      <c r="AM44" s="1">
        <f t="shared" si="15"/>
        <v>1.4140213401254452E-2</v>
      </c>
      <c r="AN44" s="1">
        <f t="shared" si="16"/>
        <v>0.1189126292756764</v>
      </c>
      <c r="AO44" s="1">
        <f t="shared" si="90"/>
        <v>0.11890439612015807</v>
      </c>
      <c r="AP44" s="47">
        <f t="shared" si="77"/>
        <v>99.515845288805096</v>
      </c>
      <c r="AS44" s="1">
        <v>40</v>
      </c>
      <c r="AT44" s="40">
        <f t="shared" si="91"/>
        <v>1.2280776938236004</v>
      </c>
      <c r="AU44" s="83">
        <f>AI33</f>
        <v>82.622727311137083</v>
      </c>
      <c r="AV44" s="82">
        <f>AI34</f>
        <v>9.2876701468401937</v>
      </c>
      <c r="AX44" s="40">
        <f>AC23</f>
        <v>0.62093686165959472</v>
      </c>
      <c r="AY44" s="40">
        <f>AC32</f>
        <v>3.7759959198813595</v>
      </c>
    </row>
    <row r="45" spans="1:52" x14ac:dyDescent="0.2">
      <c r="A45" s="40">
        <f t="shared" si="63"/>
        <v>2.5004828099272753</v>
      </c>
      <c r="B45" s="5">
        <v>361.7441</v>
      </c>
      <c r="C45" s="5">
        <v>1.3638643037404041</v>
      </c>
      <c r="D45" s="5">
        <v>3097.3171343680456</v>
      </c>
      <c r="E45" s="50">
        <f t="shared" si="64"/>
        <v>563917.45922786603</v>
      </c>
      <c r="F45" s="19">
        <f t="shared" si="78"/>
        <v>8.9712576048825279E-2</v>
      </c>
      <c r="G45" s="50">
        <f t="shared" si="79"/>
        <v>17.920904837419808</v>
      </c>
      <c r="H45" s="19">
        <f t="shared" si="65"/>
        <v>0.29952057700402701</v>
      </c>
      <c r="I45" s="19">
        <f t="shared" si="66"/>
        <v>3.3386687819667067</v>
      </c>
      <c r="J45" s="19">
        <f t="shared" si="67"/>
        <v>2181.0658706832</v>
      </c>
      <c r="K45" s="19">
        <f t="shared" si="68"/>
        <v>4.5849142542712782E-4</v>
      </c>
      <c r="L45" s="19">
        <f t="shared" si="69"/>
        <v>2.1412412881950688E-2</v>
      </c>
      <c r="M45" s="19">
        <f t="shared" si="80"/>
        <v>2.1397552447137744E-2</v>
      </c>
      <c r="N45" s="5">
        <f t="shared" si="81"/>
        <v>17.908467545107463</v>
      </c>
      <c r="O45" s="19">
        <f t="shared" si="82"/>
        <v>2.4966699866691879</v>
      </c>
      <c r="P45" s="5">
        <v>361.1925</v>
      </c>
      <c r="Q45" s="5">
        <v>2.7113065719682168</v>
      </c>
      <c r="R45" s="5">
        <v>2193.4078598576907</v>
      </c>
      <c r="S45" s="5">
        <f t="shared" si="70"/>
        <v>563057.57824982086</v>
      </c>
      <c r="T45" s="44">
        <f t="shared" si="83"/>
        <v>0.17889007941788984</v>
      </c>
      <c r="U45" s="50">
        <f t="shared" si="84"/>
        <v>55.021528256045613</v>
      </c>
      <c r="V45" s="44">
        <f t="shared" si="71"/>
        <v>0.42295399208175094</v>
      </c>
      <c r="W45" s="44">
        <f t="shared" si="72"/>
        <v>2.3643233512895048</v>
      </c>
      <c r="X45" s="44">
        <f t="shared" si="73"/>
        <v>231.37868648172613</v>
      </c>
      <c r="Y45" s="44">
        <f t="shared" si="74"/>
        <v>4.321919253694865E-3</v>
      </c>
      <c r="Z45" s="44">
        <f t="shared" si="75"/>
        <v>6.5741305536891073E-2</v>
      </c>
      <c r="AA45" s="44">
        <f t="shared" si="85"/>
        <v>6.5730765848161218E-2</v>
      </c>
      <c r="AB45" s="5">
        <f t="shared" si="86"/>
        <v>55.012707168960056</v>
      </c>
      <c r="AC45" s="44">
        <f t="shared" si="87"/>
        <v>2.4851070955413261</v>
      </c>
      <c r="AD45" s="5">
        <v>359.5197</v>
      </c>
      <c r="AE45" s="5">
        <v>4.4356944731187609</v>
      </c>
      <c r="AF45" s="5">
        <v>1706.9171032602792</v>
      </c>
      <c r="AG45" s="1">
        <f t="shared" si="76"/>
        <v>560449.87538529199</v>
      </c>
      <c r="AH45" s="1">
        <f t="shared" si="88"/>
        <v>0.29539376009903101</v>
      </c>
      <c r="AI45" s="41">
        <f t="shared" si="89"/>
        <v>100.63139072679921</v>
      </c>
      <c r="AJ45" s="1">
        <f t="shared" si="12"/>
        <v>0.54350138923376357</v>
      </c>
      <c r="AK45" s="1">
        <f t="shared" si="13"/>
        <v>1.8399216999423222</v>
      </c>
      <c r="AL45" s="1">
        <f t="shared" si="14"/>
        <v>69.170625019551863</v>
      </c>
      <c r="AM45" s="1">
        <f t="shared" si="15"/>
        <v>1.4457003962554027E-2</v>
      </c>
      <c r="AN45" s="1">
        <f t="shared" si="16"/>
        <v>0.12023728191602648</v>
      </c>
      <c r="AO45" s="1">
        <f t="shared" si="90"/>
        <v>0.12022904174385465</v>
      </c>
      <c r="AP45" s="47">
        <f t="shared" si="77"/>
        <v>100.62449419710171</v>
      </c>
    </row>
    <row r="46" spans="1:52" ht="15.75" x14ac:dyDescent="0.25">
      <c r="A46" s="40">
        <f t="shared" si="63"/>
        <v>3.7492239007354238</v>
      </c>
      <c r="B46" s="5">
        <v>542.39909999999998</v>
      </c>
      <c r="C46" s="5">
        <v>3.1568791691981484</v>
      </c>
      <c r="D46" s="5">
        <v>3052.2451696061694</v>
      </c>
      <c r="E46" s="50">
        <f t="shared" si="64"/>
        <v>845537.83284780942</v>
      </c>
      <c r="F46" s="19">
        <f t="shared" si="78"/>
        <v>9.2364507032712637E-2</v>
      </c>
      <c r="G46" s="50">
        <f t="shared" si="79"/>
        <v>18.945194932876564</v>
      </c>
      <c r="H46" s="19">
        <f t="shared" si="65"/>
        <v>0.30391529581893806</v>
      </c>
      <c r="I46" s="19">
        <f t="shared" si="66"/>
        <v>3.2903904928686591</v>
      </c>
      <c r="J46" s="19">
        <f t="shared" si="67"/>
        <v>1951.5985774149228</v>
      </c>
      <c r="K46" s="19">
        <f t="shared" si="68"/>
        <v>5.1240045548946579E-4</v>
      </c>
      <c r="L46" s="19">
        <f t="shared" si="69"/>
        <v>2.2636264168132202E-2</v>
      </c>
      <c r="M46" s="19">
        <f t="shared" si="80"/>
        <v>2.2626496562454187E-2</v>
      </c>
      <c r="N46" s="5">
        <f t="shared" si="81"/>
        <v>18.93702003298041</v>
      </c>
      <c r="O46" s="19">
        <f t="shared" si="82"/>
        <v>3.7294733933109625</v>
      </c>
      <c r="P46" s="5">
        <v>539.54179999999997</v>
      </c>
      <c r="Q46" s="5">
        <v>6.3488182242741349</v>
      </c>
      <c r="R46" s="5">
        <v>2140.9597997399055</v>
      </c>
      <c r="S46" s="5">
        <f t="shared" si="70"/>
        <v>841083.63067491504</v>
      </c>
      <c r="T46" s="44">
        <f t="shared" si="83"/>
        <v>0.18772744852842191</v>
      </c>
      <c r="U46" s="50">
        <f t="shared" si="84"/>
        <v>58.707489563650775</v>
      </c>
      <c r="V46" s="44">
        <f t="shared" si="71"/>
        <v>0.4332752572308069</v>
      </c>
      <c r="W46" s="44">
        <f t="shared" si="72"/>
        <v>2.3080016301676265</v>
      </c>
      <c r="X46" s="44">
        <f t="shared" si="73"/>
        <v>203.23646396051569</v>
      </c>
      <c r="Y46" s="44">
        <f t="shared" si="74"/>
        <v>4.920376887654755E-3</v>
      </c>
      <c r="Z46" s="44">
        <f t="shared" si="75"/>
        <v>7.0145398193001626E-2</v>
      </c>
      <c r="AA46" s="44">
        <f t="shared" si="85"/>
        <v>7.013851054963248E-2</v>
      </c>
      <c r="AB46" s="5">
        <f t="shared" si="86"/>
        <v>58.701725019409402</v>
      </c>
      <c r="AC46" s="44">
        <f t="shared" si="87"/>
        <v>3.7472863837679804</v>
      </c>
      <c r="AD46" s="5">
        <v>542.11879999999996</v>
      </c>
      <c r="AE46" s="5">
        <v>10.349281658918244</v>
      </c>
      <c r="AF46" s="5">
        <v>1684.8794812796652</v>
      </c>
      <c r="AG46" s="1">
        <f t="shared" si="76"/>
        <v>845100.87737618852</v>
      </c>
      <c r="AH46" s="1">
        <f t="shared" si="88"/>
        <v>0.30311424562907086</v>
      </c>
      <c r="AI46" s="41">
        <f t="shared" si="89"/>
        <v>103.40106121144531</v>
      </c>
      <c r="AJ46" s="1">
        <f t="shared" si="12"/>
        <v>0.55055812193543274</v>
      </c>
      <c r="AK46" s="1">
        <f t="shared" si="13"/>
        <v>1.8163386573693594</v>
      </c>
      <c r="AL46" s="1">
        <f t="shared" si="14"/>
        <v>65.514685019768407</v>
      </c>
      <c r="AM46" s="1">
        <f t="shared" si="15"/>
        <v>1.5263753457690592E-2</v>
      </c>
      <c r="AN46" s="1">
        <f t="shared" si="16"/>
        <v>0.1235465639250667</v>
      </c>
      <c r="AO46" s="1">
        <f t="shared" si="90"/>
        <v>0.12354116929094426</v>
      </c>
      <c r="AP46" s="47">
        <f t="shared" si="77"/>
        <v>103.39654622636289</v>
      </c>
      <c r="AT46" s="12" t="s">
        <v>129</v>
      </c>
      <c r="AU46" s="75">
        <v>0.75</v>
      </c>
      <c r="AV46" s="76"/>
      <c r="AX46" s="97" t="s">
        <v>132</v>
      </c>
      <c r="AY46" s="98"/>
    </row>
    <row r="47" spans="1:52" ht="15.75" x14ac:dyDescent="0.25">
      <c r="A47" s="40">
        <f t="shared" si="63"/>
        <v>3.7325348498392557</v>
      </c>
      <c r="B47" s="5">
        <v>539.98469999999998</v>
      </c>
      <c r="C47" s="5">
        <v>3.1434150239817504</v>
      </c>
      <c r="D47" s="5">
        <v>3045.1619065986602</v>
      </c>
      <c r="E47" s="50">
        <f t="shared" si="64"/>
        <v>841774.0608510864</v>
      </c>
      <c r="F47" s="19">
        <f t="shared" si="78"/>
        <v>9.2794854041754096E-2</v>
      </c>
      <c r="G47" s="50">
        <f t="shared" si="79"/>
        <v>19.11253986958457</v>
      </c>
      <c r="H47" s="19">
        <f t="shared" si="65"/>
        <v>0.30462247789970143</v>
      </c>
      <c r="I47" s="19">
        <f t="shared" si="66"/>
        <v>3.2827518405560845</v>
      </c>
      <c r="J47" s="19">
        <f t="shared" si="67"/>
        <v>1917.5727107193377</v>
      </c>
      <c r="K47" s="19">
        <f t="shared" si="68"/>
        <v>5.2149261115885966E-4</v>
      </c>
      <c r="L47" s="19">
        <f t="shared" si="69"/>
        <v>2.2836212714871521E-2</v>
      </c>
      <c r="M47" s="19">
        <f t="shared" si="80"/>
        <v>2.2826424212822095E-2</v>
      </c>
      <c r="N47" s="5">
        <f t="shared" si="81"/>
        <v>19.104347480679323</v>
      </c>
      <c r="O47" s="19">
        <f t="shared" si="82"/>
        <v>3.7397858498351471</v>
      </c>
      <c r="P47" s="5">
        <v>541.03369999999995</v>
      </c>
      <c r="Q47" s="5">
        <v>6.3458050390601999</v>
      </c>
      <c r="R47" s="5">
        <v>2147.3883533048397</v>
      </c>
      <c r="S47" s="5">
        <f t="shared" si="70"/>
        <v>843409.33123899321</v>
      </c>
      <c r="T47" s="44">
        <f t="shared" si="83"/>
        <v>0.18660495356456261</v>
      </c>
      <c r="U47" s="50">
        <f t="shared" si="84"/>
        <v>58.240869687623217</v>
      </c>
      <c r="V47" s="44">
        <f t="shared" si="71"/>
        <v>0.43197795495205843</v>
      </c>
      <c r="W47" s="44">
        <f t="shared" si="72"/>
        <v>2.3149329463143125</v>
      </c>
      <c r="X47" s="44">
        <f t="shared" si="73"/>
        <v>206.50612923047717</v>
      </c>
      <c r="Y47" s="44">
        <f t="shared" si="74"/>
        <v>4.8424712802781792E-3</v>
      </c>
      <c r="Z47" s="44">
        <f t="shared" si="75"/>
        <v>6.9587867335320602E-2</v>
      </c>
      <c r="AA47" s="44">
        <f t="shared" si="85"/>
        <v>6.9580978056912088E-2</v>
      </c>
      <c r="AB47" s="5">
        <f t="shared" si="86"/>
        <v>58.235103774951995</v>
      </c>
      <c r="AC47" s="44">
        <f t="shared" si="87"/>
        <v>3.7473485944447802</v>
      </c>
      <c r="AD47" s="5">
        <v>542.12779999999998</v>
      </c>
      <c r="AE47" s="5">
        <v>10.412028375008516</v>
      </c>
      <c r="AF47" s="5">
        <v>1679.8228393548497</v>
      </c>
      <c r="AG47" s="1">
        <f t="shared" si="76"/>
        <v>845114.90734138503</v>
      </c>
      <c r="AH47" s="1">
        <f t="shared" si="88"/>
        <v>0.3049418735527748</v>
      </c>
      <c r="AI47" s="41">
        <f t="shared" si="89"/>
        <v>104.05203564763717</v>
      </c>
      <c r="AJ47" s="1">
        <f t="shared" si="12"/>
        <v>0.55221542313917205</v>
      </c>
      <c r="AK47" s="1">
        <f t="shared" si="13"/>
        <v>1.8108874871971388</v>
      </c>
      <c r="AL47" s="1">
        <f t="shared" si="14"/>
        <v>64.697498203066729</v>
      </c>
      <c r="AM47" s="1">
        <f t="shared" si="15"/>
        <v>1.5456548209349445E-2</v>
      </c>
      <c r="AN47" s="1">
        <f t="shared" si="16"/>
        <v>0.1243243669171472</v>
      </c>
      <c r="AO47" s="1">
        <f t="shared" si="90"/>
        <v>0.12431898856261413</v>
      </c>
      <c r="AP47" s="47">
        <f t="shared" si="77"/>
        <v>104.04753428759426</v>
      </c>
      <c r="AT47" s="77" t="s">
        <v>126</v>
      </c>
      <c r="AU47" s="78" t="s">
        <v>127</v>
      </c>
      <c r="AV47" s="78" t="s">
        <v>128</v>
      </c>
      <c r="AX47" s="39" t="s">
        <v>130</v>
      </c>
      <c r="AY47" s="39" t="s">
        <v>131</v>
      </c>
    </row>
    <row r="48" spans="1:52" s="39" customFormat="1" ht="15.75" x14ac:dyDescent="0.25">
      <c r="A48" s="39" t="s">
        <v>119</v>
      </c>
      <c r="G48" s="70">
        <f>AVERAGE(G38:G47)</f>
        <v>14.75436518853842</v>
      </c>
      <c r="H48" s="70"/>
      <c r="I48" s="70"/>
      <c r="J48" s="70"/>
      <c r="K48" s="70"/>
      <c r="L48" s="70"/>
      <c r="M48" s="70"/>
      <c r="N48" s="70">
        <f>AVERAGE(N38:N47)</f>
        <v>14.72994871861771</v>
      </c>
      <c r="O48" s="70"/>
      <c r="P48" s="70"/>
      <c r="Q48" s="70"/>
      <c r="R48" s="70"/>
      <c r="S48" s="70"/>
      <c r="T48" s="70"/>
      <c r="U48" s="70">
        <f>AVERAGE(U38:U47)</f>
        <v>46.482481640710901</v>
      </c>
      <c r="V48" s="70"/>
      <c r="W48" s="70"/>
      <c r="X48" s="70"/>
      <c r="Y48" s="70"/>
      <c r="Z48" s="70"/>
      <c r="AA48" s="70"/>
      <c r="AB48" s="70">
        <f>AVERAGE(AB38:AB47)</f>
        <v>46.463841813693044</v>
      </c>
      <c r="AC48" s="70"/>
      <c r="AD48" s="70"/>
      <c r="AE48" s="70"/>
      <c r="AF48" s="70"/>
      <c r="AG48" s="70"/>
      <c r="AH48" s="70"/>
      <c r="AI48" s="70">
        <f>AVERAGE(AI38:AI47)</f>
        <v>108.16213893718214</v>
      </c>
      <c r="AJ48" s="70"/>
      <c r="AK48" s="70"/>
      <c r="AL48" s="70"/>
      <c r="AM48" s="70"/>
      <c r="AN48" s="70"/>
      <c r="AO48" s="70"/>
      <c r="AP48" s="70">
        <f>AVERAGE(AP38:AP47)</f>
        <v>108.15062619451768</v>
      </c>
      <c r="AS48" s="39">
        <v>20</v>
      </c>
      <c r="AT48" s="91">
        <f>AX23</f>
        <v>0.92105827036770038</v>
      </c>
      <c r="AU48" s="92">
        <f>G48</f>
        <v>14.75436518853842</v>
      </c>
      <c r="AV48" s="82">
        <f>G49</f>
        <v>3.6925073387014891</v>
      </c>
      <c r="AX48" s="91">
        <f>A38</f>
        <v>0.62310773778801198</v>
      </c>
      <c r="AY48" s="91">
        <f>A47</f>
        <v>3.7325348498392557</v>
      </c>
    </row>
    <row r="49" spans="1:51" s="39" customFormat="1" ht="15.75" x14ac:dyDescent="0.25">
      <c r="A49" s="39" t="s">
        <v>120</v>
      </c>
      <c r="G49" s="70">
        <f>STDEV(G38:G47)</f>
        <v>3.6925073387014891</v>
      </c>
      <c r="H49" s="70"/>
      <c r="I49" s="70"/>
      <c r="J49" s="70"/>
      <c r="K49" s="70"/>
      <c r="L49" s="70"/>
      <c r="M49" s="70"/>
      <c r="N49" s="70">
        <f>STDEV(N38:N47)</f>
        <v>3.7047574094637787</v>
      </c>
      <c r="O49" s="70"/>
      <c r="P49" s="70"/>
      <c r="Q49" s="70"/>
      <c r="R49" s="70"/>
      <c r="S49" s="70"/>
      <c r="T49" s="70"/>
      <c r="U49" s="70">
        <f>STDEV(U38:U47)</f>
        <v>14.450006545716338</v>
      </c>
      <c r="V49" s="70"/>
      <c r="W49" s="70"/>
      <c r="X49" s="70"/>
      <c r="Y49" s="70"/>
      <c r="Z49" s="70"/>
      <c r="AA49" s="70"/>
      <c r="AB49" s="70">
        <f>STDEV(AB38:AB47)</f>
        <v>14.4656269964435</v>
      </c>
      <c r="AC49" s="70"/>
      <c r="AD49" s="70"/>
      <c r="AE49" s="70"/>
      <c r="AF49" s="70"/>
      <c r="AG49" s="70"/>
      <c r="AH49" s="70"/>
      <c r="AI49" s="70">
        <f>STDEV(AI38:AI47)</f>
        <v>20.428816444939464</v>
      </c>
      <c r="AJ49" s="70"/>
      <c r="AK49" s="70"/>
      <c r="AL49" s="70"/>
      <c r="AM49" s="70"/>
      <c r="AN49" s="70"/>
      <c r="AO49" s="70"/>
      <c r="AP49" s="70">
        <f>STDEV(AP38:AP47)</f>
        <v>20.423769043063061</v>
      </c>
      <c r="AS49" s="39">
        <v>30</v>
      </c>
      <c r="AT49" s="68">
        <f t="shared" ref="AT49:AT50" si="92">AX24</f>
        <v>1.3815874055515505</v>
      </c>
      <c r="AU49" s="82">
        <f>U48</f>
        <v>46.482481640710901</v>
      </c>
      <c r="AV49" s="82">
        <f>U49</f>
        <v>14.450006545716338</v>
      </c>
      <c r="AX49" s="71">
        <f>O38</f>
        <v>0.62442114342120481</v>
      </c>
      <c r="AY49" s="71">
        <f>O47</f>
        <v>3.7397858498351471</v>
      </c>
    </row>
    <row r="50" spans="1:51" ht="15.75" x14ac:dyDescent="0.25">
      <c r="AS50" s="1">
        <v>40</v>
      </c>
      <c r="AT50" s="68">
        <f t="shared" si="92"/>
        <v>1.8421165407354008</v>
      </c>
      <c r="AU50" s="82">
        <f>AP48</f>
        <v>108.15062619451768</v>
      </c>
      <c r="AV50" s="82">
        <f>AP49</f>
        <v>20.423769043063061</v>
      </c>
      <c r="AX50" s="74">
        <f>AC38</f>
        <v>0.62203142395640054</v>
      </c>
      <c r="AY50" s="74">
        <f>AC47</f>
        <v>3.7473485944447802</v>
      </c>
    </row>
  </sheetData>
  <mergeCells count="19">
    <mergeCell ref="AU34:AV34"/>
    <mergeCell ref="AU40:AV40"/>
    <mergeCell ref="AU46:AV46"/>
    <mergeCell ref="AX34:AY34"/>
    <mergeCell ref="AX40:AY40"/>
    <mergeCell ref="AX46:AY46"/>
    <mergeCell ref="B21:D21"/>
    <mergeCell ref="P21:R21"/>
    <mergeCell ref="AD21:AF21"/>
    <mergeCell ref="B35:AF35"/>
    <mergeCell ref="B36:D36"/>
    <mergeCell ref="P36:R36"/>
    <mergeCell ref="AD36:AF36"/>
    <mergeCell ref="B20:AF20"/>
    <mergeCell ref="B2:D2"/>
    <mergeCell ref="B10:AF10"/>
    <mergeCell ref="B11:D11"/>
    <mergeCell ref="P11:R11"/>
    <mergeCell ref="AD11:AF11"/>
  </mergeCells>
  <pageMargins left="0.7" right="0.7" top="0.75" bottom="0.75" header="0.3" footer="0.3"/>
  <pageSetup paperSize="9" orientation="portrait" horizontalDpi="0" verticalDpi="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53"/>
  <sheetViews>
    <sheetView topLeftCell="E1" workbookViewId="0">
      <selection activeCell="O10" sqref="O10"/>
    </sheetView>
  </sheetViews>
  <sheetFormatPr baseColWidth="10" defaultRowHeight="12.75" x14ac:dyDescent="0.2"/>
  <cols>
    <col min="1" max="1" width="11.7109375" style="1" bestFit="1" customWidth="1"/>
    <col min="2" max="5" width="11.42578125" style="1"/>
    <col min="6" max="6" width="12.42578125" style="1" bestFit="1" customWidth="1"/>
    <col min="7" max="20" width="11.42578125" style="1"/>
    <col min="21" max="21" width="12.42578125" style="1" bestFit="1" customWidth="1"/>
    <col min="22" max="35" width="11.42578125" style="1"/>
    <col min="36" max="36" width="12.42578125" style="1" bestFit="1" customWidth="1"/>
    <col min="37" max="49" width="11.42578125" style="1"/>
    <col min="50" max="50" width="19.5703125" style="1" customWidth="1"/>
    <col min="51" max="54" width="11.42578125" style="1"/>
    <col min="55" max="55" width="12" style="1" bestFit="1" customWidth="1"/>
    <col min="56" max="16384" width="11.42578125" style="1"/>
  </cols>
  <sheetData>
    <row r="1" spans="1:60" ht="15" x14ac:dyDescent="0.25">
      <c r="F1" s="2" t="s">
        <v>7</v>
      </c>
      <c r="G1" s="2"/>
      <c r="H1" s="2"/>
      <c r="I1" s="2"/>
      <c r="AX1" s="1" t="s">
        <v>0</v>
      </c>
      <c r="AY1" s="1" t="s">
        <v>1</v>
      </c>
      <c r="AZ1" s="1" t="s">
        <v>2</v>
      </c>
      <c r="BA1" s="1" t="s">
        <v>3</v>
      </c>
      <c r="BB1" s="1" t="s">
        <v>4</v>
      </c>
      <c r="BC1" s="1" t="s">
        <v>5</v>
      </c>
    </row>
    <row r="2" spans="1:60" ht="15" x14ac:dyDescent="0.25">
      <c r="B2" s="58" t="s">
        <v>6</v>
      </c>
      <c r="C2" s="58"/>
      <c r="D2" s="14"/>
      <c r="F2" s="2" t="s">
        <v>11</v>
      </c>
      <c r="G2" s="2"/>
      <c r="H2" s="2"/>
      <c r="I2" s="2"/>
      <c r="M2" s="14"/>
      <c r="N2" s="14"/>
      <c r="O2" s="14"/>
      <c r="P2" s="14"/>
      <c r="AX2" s="1">
        <f>BB2*AY2</f>
        <v>7.0173362404153505E-2</v>
      </c>
      <c r="AY2" s="1">
        <v>1.1000000000000001</v>
      </c>
      <c r="AZ2" s="1">
        <v>9.8066499999999994</v>
      </c>
      <c r="BA2" s="1">
        <v>0.28499999999999998</v>
      </c>
      <c r="BB2" s="1">
        <f>PI()*BA2*BA2/4</f>
        <v>6.3793965821957732E-2</v>
      </c>
      <c r="BC2" s="1">
        <v>1.003E-6</v>
      </c>
    </row>
    <row r="3" spans="1:60" x14ac:dyDescent="0.2">
      <c r="B3" s="3" t="s">
        <v>8</v>
      </c>
      <c r="C3" s="4" t="s">
        <v>9</v>
      </c>
      <c r="E3" s="1" t="s">
        <v>12</v>
      </c>
      <c r="F3" s="1" t="s">
        <v>13</v>
      </c>
      <c r="G3" s="1" t="s">
        <v>14</v>
      </c>
      <c r="I3" s="1" t="s">
        <v>15</v>
      </c>
      <c r="M3" s="15"/>
      <c r="N3" s="15"/>
      <c r="O3" s="15"/>
      <c r="P3" s="15"/>
    </row>
    <row r="4" spans="1:60" x14ac:dyDescent="0.2">
      <c r="B4" s="5">
        <v>90.260249999999999</v>
      </c>
      <c r="C4" s="5">
        <v>0</v>
      </c>
      <c r="E4" s="1">
        <v>10</v>
      </c>
      <c r="F4" s="1">
        <v>250</v>
      </c>
      <c r="G4" s="17">
        <v>226.2</v>
      </c>
      <c r="H4" s="17"/>
      <c r="I4" s="1">
        <v>26</v>
      </c>
      <c r="M4" s="16"/>
      <c r="N4" s="16"/>
      <c r="O4" s="16"/>
      <c r="P4" s="16"/>
    </row>
    <row r="5" spans="1:60" ht="15" x14ac:dyDescent="0.25">
      <c r="B5" s="5">
        <v>179.0951</v>
      </c>
      <c r="C5" s="5">
        <v>0</v>
      </c>
      <c r="E5" s="6">
        <v>10</v>
      </c>
      <c r="F5" s="6">
        <v>300</v>
      </c>
      <c r="G5" s="6">
        <v>285</v>
      </c>
      <c r="H5" s="6"/>
      <c r="I5" s="6">
        <v>32</v>
      </c>
      <c r="M5" s="16"/>
      <c r="N5" s="16"/>
      <c r="O5" s="16"/>
      <c r="P5" s="16"/>
      <c r="AX5"/>
      <c r="AY5"/>
      <c r="AZ5"/>
      <c r="BA5"/>
      <c r="BB5"/>
      <c r="BC5"/>
      <c r="BD5"/>
      <c r="BE5"/>
      <c r="BF5" t="s">
        <v>16</v>
      </c>
      <c r="BG5" t="s">
        <v>17</v>
      </c>
      <c r="BH5"/>
    </row>
    <row r="6" spans="1:60" ht="15" x14ac:dyDescent="0.25">
      <c r="B6" s="5">
        <v>268.52620000000002</v>
      </c>
      <c r="C6" s="5">
        <v>0</v>
      </c>
      <c r="E6" s="1">
        <v>16</v>
      </c>
      <c r="F6" s="1">
        <v>200</v>
      </c>
      <c r="G6" s="1">
        <v>170.4</v>
      </c>
      <c r="I6" s="1">
        <v>21</v>
      </c>
      <c r="M6" s="16"/>
      <c r="N6" s="16"/>
      <c r="O6" s="16"/>
      <c r="P6" s="16"/>
      <c r="AX6"/>
      <c r="AY6"/>
      <c r="AZ6"/>
      <c r="BA6"/>
      <c r="BB6"/>
      <c r="BC6"/>
      <c r="BD6"/>
      <c r="BE6"/>
      <c r="BF6"/>
      <c r="BG6" t="s">
        <v>18</v>
      </c>
      <c r="BH6"/>
    </row>
    <row r="7" spans="1:60" ht="15" x14ac:dyDescent="0.25">
      <c r="B7" s="5">
        <v>357.79259999999999</v>
      </c>
      <c r="C7" s="5">
        <v>0</v>
      </c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AX7"/>
      <c r="AY7"/>
      <c r="AZ7"/>
      <c r="BA7"/>
      <c r="BB7"/>
      <c r="BC7" t="s">
        <v>19</v>
      </c>
      <c r="BD7" t="s">
        <v>20</v>
      </c>
      <c r="BE7" t="s">
        <v>21</v>
      </c>
      <c r="BF7"/>
      <c r="BG7"/>
    </row>
    <row r="8" spans="1:60" ht="15" x14ac:dyDescent="0.25">
      <c r="B8" s="18">
        <v>537.25400000000002</v>
      </c>
      <c r="C8" s="18">
        <v>0</v>
      </c>
      <c r="E8" s="16"/>
      <c r="F8" s="16"/>
      <c r="G8" s="16"/>
      <c r="H8" s="16"/>
      <c r="I8" s="16"/>
      <c r="J8" s="16"/>
      <c r="K8" s="16"/>
      <c r="L8" s="16"/>
      <c r="M8" s="16"/>
      <c r="N8" s="16"/>
      <c r="O8" s="16"/>
      <c r="P8" s="16"/>
      <c r="AX8" t="s">
        <v>23</v>
      </c>
      <c r="AY8"/>
      <c r="AZ8"/>
      <c r="BA8" t="s">
        <v>24</v>
      </c>
      <c r="BB8" t="s">
        <v>25</v>
      </c>
      <c r="BC8" t="s">
        <v>26</v>
      </c>
      <c r="BD8"/>
      <c r="BE8"/>
      <c r="BF8"/>
      <c r="BG8"/>
    </row>
    <row r="9" spans="1:60" ht="15" x14ac:dyDescent="0.25">
      <c r="B9" s="56">
        <v>0.25</v>
      </c>
      <c r="C9" s="56"/>
      <c r="D9" s="57"/>
      <c r="E9" s="57"/>
      <c r="F9" s="57"/>
      <c r="G9" s="57"/>
      <c r="H9" s="57"/>
      <c r="I9" s="57"/>
      <c r="J9" s="57"/>
      <c r="K9" s="57"/>
      <c r="L9" s="57"/>
      <c r="M9" s="57"/>
      <c r="N9" s="57"/>
      <c r="O9" s="57"/>
      <c r="P9" s="57"/>
      <c r="Q9" s="57"/>
      <c r="R9" s="57"/>
      <c r="S9" s="57"/>
      <c r="T9" s="57"/>
      <c r="U9" s="57"/>
      <c r="V9" s="57"/>
      <c r="W9" s="57"/>
      <c r="X9" s="57"/>
      <c r="Y9" s="57"/>
      <c r="Z9" s="57"/>
      <c r="AA9" s="57"/>
      <c r="AB9" s="57"/>
      <c r="AC9" s="57"/>
      <c r="AD9" s="57"/>
      <c r="AE9" s="57"/>
      <c r="AF9" s="57"/>
      <c r="AG9" s="57"/>
      <c r="AH9" s="57"/>
      <c r="AI9" s="57"/>
      <c r="AJ9" s="35"/>
      <c r="AK9" s="35"/>
      <c r="AL9" s="35"/>
      <c r="AM9" s="35"/>
      <c r="AN9" s="35"/>
      <c r="AO9" s="35"/>
      <c r="AP9" s="35"/>
      <c r="AQ9" s="35"/>
      <c r="AR9" s="35"/>
      <c r="AS9" s="35"/>
      <c r="AT9" s="35"/>
      <c r="AU9" s="35"/>
      <c r="AX9" t="s">
        <v>27</v>
      </c>
      <c r="AY9">
        <v>630</v>
      </c>
      <c r="AZ9"/>
      <c r="BA9">
        <v>25</v>
      </c>
      <c r="BB9">
        <v>40</v>
      </c>
      <c r="BC9" s="7">
        <f>AY$9*BA9/100*AY$16*BB9</f>
        <v>316672.53948185116</v>
      </c>
      <c r="BD9" s="8">
        <f>(BC9/(1000)^3)/AX$2*100</f>
        <v>0.45127171996978099</v>
      </c>
      <c r="BE9" s="9">
        <f>(AY$10*BA9/100*AY$12/1000)/(2*PI()*BA$2/2)*100</f>
        <v>7.1480114792149498</v>
      </c>
      <c r="BF9"/>
      <c r="BG9"/>
    </row>
    <row r="10" spans="1:60" ht="15" x14ac:dyDescent="0.25">
      <c r="B10" s="58" t="s">
        <v>29</v>
      </c>
      <c r="C10" s="58"/>
      <c r="D10" s="58"/>
      <c r="E10" s="58"/>
      <c r="F10" s="42"/>
      <c r="G10" s="42"/>
      <c r="H10" s="42" t="s">
        <v>123</v>
      </c>
      <c r="I10" s="42"/>
      <c r="J10" s="42"/>
      <c r="K10" s="42"/>
      <c r="L10" s="42"/>
      <c r="M10" s="42"/>
      <c r="N10" s="42"/>
      <c r="O10" s="42"/>
      <c r="P10" s="42"/>
      <c r="Q10" s="58" t="s">
        <v>30</v>
      </c>
      <c r="R10" s="58"/>
      <c r="S10" s="58"/>
      <c r="T10" s="58"/>
      <c r="U10" s="42"/>
      <c r="V10" s="42"/>
      <c r="W10" s="42" t="s">
        <v>123</v>
      </c>
      <c r="X10" s="42"/>
      <c r="Y10" s="42"/>
      <c r="Z10" s="42"/>
      <c r="AA10" s="42"/>
      <c r="AB10" s="42"/>
      <c r="AC10" s="42"/>
      <c r="AD10" s="42"/>
      <c r="AE10" s="42"/>
      <c r="AF10" s="58" t="s">
        <v>31</v>
      </c>
      <c r="AG10" s="58"/>
      <c r="AH10" s="58"/>
      <c r="AI10" s="58"/>
      <c r="AJ10" s="36"/>
      <c r="AK10" s="36"/>
      <c r="AL10" s="36" t="s">
        <v>123</v>
      </c>
      <c r="AM10" s="36"/>
      <c r="AN10" s="36"/>
      <c r="AO10" s="36"/>
      <c r="AP10" s="36"/>
      <c r="AQ10" s="36"/>
      <c r="AR10" s="36"/>
      <c r="AS10" s="36"/>
      <c r="AT10" s="36"/>
      <c r="AU10" s="36"/>
      <c r="AX10" t="s">
        <v>28</v>
      </c>
      <c r="AY10">
        <v>32</v>
      </c>
      <c r="AZ10"/>
      <c r="BA10" s="10">
        <v>25</v>
      </c>
      <c r="BB10">
        <v>30</v>
      </c>
      <c r="BC10" s="7">
        <f t="shared" ref="BC10:BC17" si="0">AY$9*BA10/100*AY$16*BB10</f>
        <v>237504.40461138837</v>
      </c>
      <c r="BD10" s="8">
        <f t="shared" ref="BD10:BD17" si="1">(BC10/(1000)^3)/AX$2*100</f>
        <v>0.33845378997733572</v>
      </c>
      <c r="BE10" s="9">
        <f t="shared" ref="BE10:BE17" si="2">(AY$10*BA10/100*AY$12/1000)/(2*PI()*BA$2/2)*100</f>
        <v>7.1480114792149498</v>
      </c>
      <c r="BF10"/>
      <c r="BG10"/>
    </row>
    <row r="11" spans="1:60" ht="15" x14ac:dyDescent="0.25">
      <c r="A11" s="39" t="s">
        <v>103</v>
      </c>
      <c r="B11" s="3" t="s">
        <v>8</v>
      </c>
      <c r="C11" s="3" t="s">
        <v>56</v>
      </c>
      <c r="D11" s="4" t="s">
        <v>9</v>
      </c>
      <c r="E11" s="3" t="s">
        <v>57</v>
      </c>
      <c r="F11" s="3" t="s">
        <v>104</v>
      </c>
      <c r="G11" s="3" t="s">
        <v>105</v>
      </c>
      <c r="H11" s="3" t="s">
        <v>125</v>
      </c>
      <c r="I11" s="3" t="s">
        <v>111</v>
      </c>
      <c r="J11" s="3" t="s">
        <v>112</v>
      </c>
      <c r="K11" s="3" t="s">
        <v>113</v>
      </c>
      <c r="L11" s="3" t="s">
        <v>115</v>
      </c>
      <c r="M11" s="3" t="s">
        <v>114</v>
      </c>
      <c r="N11" s="3" t="s">
        <v>116</v>
      </c>
      <c r="O11" s="3" t="s">
        <v>118</v>
      </c>
      <c r="P11" s="3" t="s">
        <v>103</v>
      </c>
      <c r="Q11" s="3" t="s">
        <v>8</v>
      </c>
      <c r="R11" s="3" t="s">
        <v>56</v>
      </c>
      <c r="S11" s="4" t="s">
        <v>9</v>
      </c>
      <c r="T11" s="3" t="s">
        <v>57</v>
      </c>
      <c r="U11" s="3" t="s">
        <v>104</v>
      </c>
      <c r="V11" s="3" t="s">
        <v>105</v>
      </c>
      <c r="W11" s="3" t="s">
        <v>125</v>
      </c>
      <c r="X11" s="3" t="s">
        <v>111</v>
      </c>
      <c r="Y11" s="3" t="s">
        <v>112</v>
      </c>
      <c r="Z11" s="3" t="s">
        <v>113</v>
      </c>
      <c r="AA11" s="3" t="s">
        <v>115</v>
      </c>
      <c r="AB11" s="3" t="s">
        <v>114</v>
      </c>
      <c r="AC11" s="3" t="s">
        <v>116</v>
      </c>
      <c r="AD11" s="3" t="s">
        <v>118</v>
      </c>
      <c r="AE11" s="3" t="s">
        <v>103</v>
      </c>
      <c r="AF11" s="3" t="s">
        <v>8</v>
      </c>
      <c r="AG11" s="3" t="s">
        <v>56</v>
      </c>
      <c r="AH11" s="4" t="s">
        <v>9</v>
      </c>
      <c r="AI11" s="3" t="s">
        <v>57</v>
      </c>
      <c r="AJ11" s="37" t="s">
        <v>104</v>
      </c>
      <c r="AK11" s="37" t="s">
        <v>105</v>
      </c>
      <c r="AL11" s="37" t="s">
        <v>125</v>
      </c>
      <c r="AM11" s="37" t="s">
        <v>111</v>
      </c>
      <c r="AN11" s="37" t="s">
        <v>112</v>
      </c>
      <c r="AO11" s="37" t="s">
        <v>113</v>
      </c>
      <c r="AP11" s="37" t="s">
        <v>115</v>
      </c>
      <c r="AQ11" s="37" t="s">
        <v>114</v>
      </c>
      <c r="AR11" s="37" t="s">
        <v>116</v>
      </c>
      <c r="AS11" s="37" t="s">
        <v>118</v>
      </c>
      <c r="AT11" s="37"/>
      <c r="AU11" s="37"/>
      <c r="AX11" t="s">
        <v>32</v>
      </c>
      <c r="AY11"/>
      <c r="AZ11"/>
      <c r="BA11">
        <v>25</v>
      </c>
      <c r="BB11">
        <v>20</v>
      </c>
      <c r="BC11" s="7">
        <f t="shared" si="0"/>
        <v>158336.26974092558</v>
      </c>
      <c r="BD11" s="8">
        <f t="shared" si="1"/>
        <v>0.2256358599848905</v>
      </c>
      <c r="BE11" s="9">
        <f t="shared" si="2"/>
        <v>7.1480114792149498</v>
      </c>
      <c r="BF11"/>
      <c r="BG11"/>
    </row>
    <row r="12" spans="1:60" ht="15" x14ac:dyDescent="0.25">
      <c r="A12" s="40">
        <f>(B12/3600)/(PI()*(($G$5/1000)/2)^2)</f>
        <v>1.1467633715938852</v>
      </c>
      <c r="B12" s="5">
        <v>263.36369999999999</v>
      </c>
      <c r="C12" s="5">
        <v>0.74050747846309894</v>
      </c>
      <c r="D12" s="5">
        <v>0.41439910000000002</v>
      </c>
      <c r="E12" s="19">
        <v>4.8746627761430197E-3</v>
      </c>
      <c r="F12" s="43">
        <f t="shared" ref="F12:F21" si="3">B12*$G$5/1000/$BC$2</f>
        <v>74834152.043868393</v>
      </c>
      <c r="G12" s="19">
        <f t="shared" ref="G12:G21" si="4">(D12/$BA$2)*($G$5/1000)*2*$BA$2/((A12^2)*$AY$2)</f>
        <v>0.16328765359657771</v>
      </c>
      <c r="H12" s="19">
        <f>((3.7^2)/(10^(1/(G12^0.5))))^0.5*$G$5</f>
        <v>61.051227092080609</v>
      </c>
      <c r="I12" s="19">
        <f>G12^0.5</f>
        <v>0.4040886704630281</v>
      </c>
      <c r="J12" s="19">
        <f>1/I12</f>
        <v>2.4747043733102991</v>
      </c>
      <c r="K12" s="19">
        <f>10^J12</f>
        <v>298.33511437215822</v>
      </c>
      <c r="L12" s="19">
        <f>1/K12</f>
        <v>3.3519352963344092E-3</v>
      </c>
      <c r="M12" s="19">
        <f>L12^0.5</f>
        <v>5.7895900514064111E-2</v>
      </c>
      <c r="N12" s="19">
        <f>M12-(2.51/(F12*I12))</f>
        <v>5.7895817510411271E-2</v>
      </c>
      <c r="O12" s="19">
        <f>N12*3.7*$G$5</f>
        <v>61.051139564728686</v>
      </c>
      <c r="P12" s="19">
        <f>(Q12/3600)/(PI()*($G$5/1000/2)^2)</f>
        <v>1.1715741473057315</v>
      </c>
      <c r="Q12" s="5">
        <v>269.06169999999997</v>
      </c>
      <c r="R12" s="5">
        <v>0.74050747846309894</v>
      </c>
      <c r="S12" s="5">
        <v>0.2648488</v>
      </c>
      <c r="T12" s="19">
        <v>4.8746627761430197E-3</v>
      </c>
      <c r="U12" s="43">
        <f>Q12*$G$5/1000/$BC$2</f>
        <v>76453224.825523421</v>
      </c>
      <c r="V12" s="19">
        <f>(S12/$BA$2)*($G$5/1000)*2*$BA$2/((P12^2)*$AY$2)</f>
        <v>9.9986328334632654E-2</v>
      </c>
      <c r="W12" s="19">
        <f>((3.7^2)/(10^(1/(V12^0.5))))^0.5*$G$5</f>
        <v>27.656655428787356</v>
      </c>
      <c r="X12" s="19">
        <f>V12^0.5</f>
        <v>0.31620614847695905</v>
      </c>
      <c r="Y12" s="19">
        <f>1/X12</f>
        <v>3.1624938503460722</v>
      </c>
      <c r="Z12" s="19">
        <f>10^Y12</f>
        <v>1453.7638000190077</v>
      </c>
      <c r="AA12" s="19">
        <f>1/Z12</f>
        <v>6.8786965254391747E-4</v>
      </c>
      <c r="AB12" s="19">
        <f>AA12^0.5</f>
        <v>2.6227269254421388E-2</v>
      </c>
      <c r="AC12" s="19">
        <f>AB12-(2.51/(U12*X12))</f>
        <v>2.6227165428067661E-2</v>
      </c>
      <c r="AD12" s="19">
        <f>AC12*3.7*$G$5</f>
        <v>27.656545943897349</v>
      </c>
      <c r="AE12" s="19">
        <f>(AF12/3600)/(PI()*($G$5/1000/2)^2)</f>
        <v>1.197951163105951</v>
      </c>
      <c r="AF12" s="5">
        <v>275.11939999999998</v>
      </c>
      <c r="AG12" s="5">
        <v>0.74050747846309894</v>
      </c>
      <c r="AH12" s="5">
        <v>1.347299</v>
      </c>
      <c r="AI12" s="5">
        <v>5.3474377686847799E-3</v>
      </c>
      <c r="AJ12" s="52">
        <f>AF12*$G$5/1000/$BC$2</f>
        <v>78174505.483549342</v>
      </c>
      <c r="AK12" s="38">
        <f>(AH12/$BA$2)*($G$5/1000)*2*$BA$2/((AE12^2)*$AY$2)</f>
        <v>0.48648329384555605</v>
      </c>
      <c r="AL12" s="38">
        <f>((3.7^2)/(10^(1/(AK12^0.5))))^0.5*$G$5</f>
        <v>202.38754990941118</v>
      </c>
      <c r="AM12" s="38">
        <f>AK12^0.5</f>
        <v>0.69748354378118205</v>
      </c>
      <c r="AN12" s="38">
        <f>1/AM12</f>
        <v>1.4337255823683275</v>
      </c>
      <c r="AO12" s="38">
        <f>10^AN12</f>
        <v>27.147233746677607</v>
      </c>
      <c r="AP12" s="38">
        <f>1/AO12</f>
        <v>3.6836165678294355E-2</v>
      </c>
      <c r="AQ12" s="38">
        <f>AP12^0.5</f>
        <v>0.191927501099489</v>
      </c>
      <c r="AR12" s="38">
        <f>AQ12-(2.51/(AJ12*AM12))</f>
        <v>0.1919274550659236</v>
      </c>
      <c r="AS12" s="52">
        <f>AR12*3.7*$G$5</f>
        <v>202.38750136701645</v>
      </c>
      <c r="AT12" s="16"/>
      <c r="AU12" s="16"/>
      <c r="AX12" t="s">
        <v>33</v>
      </c>
      <c r="AY12">
        <v>8</v>
      </c>
      <c r="AZ12" t="s">
        <v>34</v>
      </c>
      <c r="BA12" s="11">
        <v>50</v>
      </c>
      <c r="BB12" s="11">
        <v>40</v>
      </c>
      <c r="BC12" s="7">
        <f t="shared" si="0"/>
        <v>633345.07896370231</v>
      </c>
      <c r="BD12" s="8">
        <f t="shared" si="1"/>
        <v>0.90254343993956199</v>
      </c>
      <c r="BE12" s="9">
        <f t="shared" si="2"/>
        <v>14.2960229584299</v>
      </c>
      <c r="BF12"/>
      <c r="BG12"/>
    </row>
    <row r="13" spans="1:60" ht="15" x14ac:dyDescent="0.25">
      <c r="A13" s="40">
        <f t="shared" ref="A13:A21" si="5">(B13/3600)/(PI()*($G$5/1000/2)^2)</f>
        <v>1.1436922869835719</v>
      </c>
      <c r="B13" s="5">
        <v>262.65839999999997</v>
      </c>
      <c r="C13" s="5">
        <v>0.74050747846309894</v>
      </c>
      <c r="D13" s="5">
        <v>0.47910819999999998</v>
      </c>
      <c r="E13" s="19">
        <v>4.8746627761430197E-3</v>
      </c>
      <c r="F13" s="43">
        <f t="shared" si="3"/>
        <v>74633742.77168493</v>
      </c>
      <c r="G13" s="19">
        <f t="shared" si="4"/>
        <v>0.18980051650354832</v>
      </c>
      <c r="H13" s="19">
        <f t="shared" ref="H13:H21" si="6">((3.7^2)/(10^(1/(G13^0.5))))^0.5*$G$5</f>
        <v>75.05251909270369</v>
      </c>
      <c r="I13" s="19">
        <f t="shared" ref="I13:I21" si="7">G13^0.5</f>
        <v>0.43566101099771176</v>
      </c>
      <c r="J13" s="19">
        <f t="shared" ref="J13:J21" si="8">1/I13</f>
        <v>2.2953626208365301</v>
      </c>
      <c r="K13" s="19">
        <f t="shared" ref="K13:K21" si="9">10^J13</f>
        <v>197.40703284662763</v>
      </c>
      <c r="L13" s="19">
        <f t="shared" ref="L13:L21" si="10">1/K13</f>
        <v>5.0656756528878822E-3</v>
      </c>
      <c r="M13" s="19">
        <f t="shared" ref="M13:M21" si="11">L13^0.5</f>
        <v>7.1173560068946123E-2</v>
      </c>
      <c r="N13" s="19">
        <f t="shared" ref="N13:N21" si="12">M13-(2.51/(F13*I13))</f>
        <v>7.1173482873833502E-2</v>
      </c>
      <c r="O13" s="19">
        <f t="shared" ref="O13:O21" si="13">N13*3.7*$G$5</f>
        <v>75.052437690457438</v>
      </c>
      <c r="P13" s="19">
        <f t="shared" ref="P13:P21" si="14">(Q13/3600)/(PI()*($G$5/1000/2)^2)</f>
        <v>1.1709597562118492</v>
      </c>
      <c r="Q13" s="5">
        <v>268.92059999999998</v>
      </c>
      <c r="R13" s="5">
        <v>0.74050747846309894</v>
      </c>
      <c r="S13" s="5">
        <v>0.40872199999999997</v>
      </c>
      <c r="T13" s="19">
        <v>4.8746627761430197E-3</v>
      </c>
      <c r="U13" s="43">
        <f t="shared" ref="U13:U21" si="15">Q13*$G$5/1000/$BC$2</f>
        <v>76413131.605184451</v>
      </c>
      <c r="V13" s="19">
        <f t="shared" ref="V13:V21" si="16">(S13/$BA$2)*($G$5/1000)*2*$BA$2/((P13^2)*$AY$2)</f>
        <v>0.15446363344242448</v>
      </c>
      <c r="W13" s="19">
        <f t="shared" ref="W13:W21" si="17">((3.7^2)/(10^(1/(V13^0.5))))^0.5*$G$5</f>
        <v>56.343292215928045</v>
      </c>
      <c r="X13" s="19">
        <f t="shared" ref="X13:X21" si="18">V13^0.5</f>
        <v>0.39301861717026138</v>
      </c>
      <c r="Y13" s="19">
        <f t="shared" ref="Y13:Y21" si="19">1/X13</f>
        <v>2.5444087285228667</v>
      </c>
      <c r="Z13" s="19">
        <f t="shared" ref="Z13:Z21" si="20">10^Y13</f>
        <v>350.27466672168953</v>
      </c>
      <c r="AA13" s="19">
        <f t="shared" ref="AA13:AA21" si="21">1/Z13</f>
        <v>2.8549024380188741E-3</v>
      </c>
      <c r="AB13" s="19">
        <f t="shared" ref="AB13:AB21" si="22">AA13^0.5</f>
        <v>5.3431287070581354E-2</v>
      </c>
      <c r="AC13" s="19">
        <f t="shared" ref="AC13:AC21" si="23">AB13-(2.51/(U13*X13))</f>
        <v>5.343120349246102E-2</v>
      </c>
      <c r="AD13" s="19">
        <f t="shared" ref="AD13:AD21" si="24">AC13*3.7*$G$5</f>
        <v>56.343204082800149</v>
      </c>
      <c r="AE13" s="19">
        <f t="shared" ref="AE13:AE21" si="25">(AF13/3600)/(PI()*($G$5/1000/2)^2)</f>
        <v>1.198965713955523</v>
      </c>
      <c r="AF13" s="5">
        <v>275.35239999999999</v>
      </c>
      <c r="AG13" s="5">
        <v>0.74050747846309894</v>
      </c>
      <c r="AH13" s="5">
        <v>1.8533999999999999</v>
      </c>
      <c r="AI13" s="5">
        <v>5.5541026034509498E-3</v>
      </c>
      <c r="AJ13" s="52">
        <f t="shared" ref="AJ13:AJ21" si="26">AF13*$G$5/1000/$BC$2</f>
        <v>78240711.864406779</v>
      </c>
      <c r="AK13" s="38">
        <f t="shared" ref="AK13:AK21" si="27">(AH13/$BA$2)*($G$5/1000)*2*$BA$2/((AE13^2)*$AY$2)</f>
        <v>0.66809435328070632</v>
      </c>
      <c r="AL13" s="38">
        <f t="shared" ref="AL13:AL21" si="28">((3.7^2)/(10^(1/(AK13^0.5))))^0.5*$G$5</f>
        <v>257.82724264608072</v>
      </c>
      <c r="AM13" s="38">
        <f t="shared" ref="AM13:AM21" si="29">AK13^0.5</f>
        <v>0.81737038928548567</v>
      </c>
      <c r="AN13" s="38">
        <f t="shared" ref="AN13:AN21" si="30">1/AM13</f>
        <v>1.2234355600698505</v>
      </c>
      <c r="AO13" s="38">
        <f t="shared" ref="AO13:AO21" si="31">10^AN13</f>
        <v>16.727674153933812</v>
      </c>
      <c r="AP13" s="38">
        <f t="shared" ref="AP13:AP21" si="32">1/AO13</f>
        <v>5.9781174047130285E-2</v>
      </c>
      <c r="AQ13" s="38">
        <f t="shared" ref="AQ13:AQ21" si="33">AP13^0.5</f>
        <v>0.24450188965963082</v>
      </c>
      <c r="AR13" s="38">
        <f t="shared" ref="AR13:AR21" si="34">AQ13-(2.51/(AJ13*AM13))</f>
        <v>0.24450185041122444</v>
      </c>
      <c r="AS13" s="52">
        <f t="shared" ref="AS13:AS21" si="35">AR13*3.7*$G$5</f>
        <v>257.82720125863619</v>
      </c>
      <c r="AT13" s="16"/>
      <c r="AU13" s="16"/>
      <c r="AX13" t="s">
        <v>35</v>
      </c>
      <c r="AY13">
        <f>BA2*1000</f>
        <v>285</v>
      </c>
      <c r="AZ13" t="s">
        <v>34</v>
      </c>
      <c r="BA13" s="11">
        <v>50</v>
      </c>
      <c r="BB13">
        <v>30</v>
      </c>
      <c r="BC13" s="7">
        <f t="shared" si="0"/>
        <v>475008.80922277673</v>
      </c>
      <c r="BD13" s="8">
        <f t="shared" si="1"/>
        <v>0.67690757995467143</v>
      </c>
      <c r="BE13" s="9">
        <f t="shared" si="2"/>
        <v>14.2960229584299</v>
      </c>
      <c r="BF13"/>
      <c r="BG13"/>
    </row>
    <row r="14" spans="1:60" ht="15" x14ac:dyDescent="0.25">
      <c r="A14" s="40">
        <f t="shared" si="5"/>
        <v>1.5466592569765689</v>
      </c>
      <c r="B14" s="5">
        <v>355.20310000000001</v>
      </c>
      <c r="C14" s="5">
        <v>0.74050747846309894</v>
      </c>
      <c r="D14" s="5">
        <v>0.93043450000000005</v>
      </c>
      <c r="E14" s="19">
        <v>4.8746627761430197E-3</v>
      </c>
      <c r="F14" s="43">
        <f t="shared" si="3"/>
        <v>100930093.22033899</v>
      </c>
      <c r="G14" s="19">
        <f t="shared" si="4"/>
        <v>0.2015480893553758</v>
      </c>
      <c r="H14" s="19">
        <f t="shared" si="6"/>
        <v>81.154887048805563</v>
      </c>
      <c r="I14" s="19">
        <f t="shared" si="7"/>
        <v>0.44894107559386431</v>
      </c>
      <c r="J14" s="19">
        <f t="shared" si="8"/>
        <v>2.2274638128783133</v>
      </c>
      <c r="K14" s="19">
        <f t="shared" si="9"/>
        <v>168.83551732424422</v>
      </c>
      <c r="L14" s="19">
        <f t="shared" si="10"/>
        <v>5.9229243695183287E-3</v>
      </c>
      <c r="M14" s="19">
        <f t="shared" si="11"/>
        <v>7.6960537741873461E-2</v>
      </c>
      <c r="N14" s="19">
        <f t="shared" si="12"/>
        <v>7.6960482347748757E-2</v>
      </c>
      <c r="O14" s="19">
        <f t="shared" si="13"/>
        <v>81.154828635701065</v>
      </c>
      <c r="P14" s="19">
        <f t="shared" si="14"/>
        <v>1.5594216970628132</v>
      </c>
      <c r="Q14" s="5">
        <v>358.13409999999999</v>
      </c>
      <c r="R14" s="5">
        <v>0.74050747846309894</v>
      </c>
      <c r="S14" s="5">
        <v>0.92467809999999995</v>
      </c>
      <c r="T14" s="19">
        <v>4.8746627761430197E-3</v>
      </c>
      <c r="U14" s="43">
        <f t="shared" si="15"/>
        <v>101762929.7108674</v>
      </c>
      <c r="V14" s="19">
        <f t="shared" si="16"/>
        <v>0.19703600685403425</v>
      </c>
      <c r="W14" s="19">
        <f t="shared" si="17"/>
        <v>78.819694493048218</v>
      </c>
      <c r="X14" s="19">
        <f t="shared" si="18"/>
        <v>0.44388738082314783</v>
      </c>
      <c r="Y14" s="19">
        <f t="shared" si="19"/>
        <v>2.252823673756152</v>
      </c>
      <c r="Z14" s="19">
        <f t="shared" si="20"/>
        <v>178.98790045542356</v>
      </c>
      <c r="AA14" s="19">
        <f t="shared" si="21"/>
        <v>5.5869698312319563E-3</v>
      </c>
      <c r="AB14" s="19">
        <f t="shared" si="22"/>
        <v>7.4746035555285181E-2</v>
      </c>
      <c r="AC14" s="19">
        <f t="shared" si="23"/>
        <v>7.4745979989005423E-2</v>
      </c>
      <c r="AD14" s="19">
        <f t="shared" si="24"/>
        <v>78.819635898406219</v>
      </c>
      <c r="AE14" s="19">
        <f t="shared" si="25"/>
        <v>1.5587824864846282</v>
      </c>
      <c r="AF14" s="5">
        <v>357.9873</v>
      </c>
      <c r="AG14" s="5">
        <v>0.74050747846309894</v>
      </c>
      <c r="AH14" s="5">
        <v>2.3770630000000001</v>
      </c>
      <c r="AI14" s="5">
        <v>5.60396945294637E-3</v>
      </c>
      <c r="AJ14" s="52">
        <f t="shared" si="26"/>
        <v>101721216.84945165</v>
      </c>
      <c r="AK14" s="38">
        <f t="shared" si="27"/>
        <v>0.50693447505639588</v>
      </c>
      <c r="AL14" s="38">
        <f t="shared" si="28"/>
        <v>209.31135816553038</v>
      </c>
      <c r="AM14" s="38">
        <f t="shared" si="29"/>
        <v>0.71199331110369002</v>
      </c>
      <c r="AN14" s="38">
        <f t="shared" si="30"/>
        <v>1.404507576693184</v>
      </c>
      <c r="AO14" s="38">
        <f t="shared" si="31"/>
        <v>25.380932651038535</v>
      </c>
      <c r="AP14" s="38">
        <f t="shared" si="32"/>
        <v>3.9399655392847913E-2</v>
      </c>
      <c r="AQ14" s="38">
        <f t="shared" si="33"/>
        <v>0.19849346435801837</v>
      </c>
      <c r="AR14" s="38">
        <f t="shared" si="34"/>
        <v>0.19849342970139386</v>
      </c>
      <c r="AS14" s="52">
        <f t="shared" si="35"/>
        <v>209.31132162011983</v>
      </c>
      <c r="AT14" s="16"/>
      <c r="AU14" s="16"/>
      <c r="AX14" t="s">
        <v>36</v>
      </c>
      <c r="AY14" s="8">
        <f>2*PI()*AY13/2</f>
        <v>895.35390627309107</v>
      </c>
      <c r="AZ14" t="s">
        <v>34</v>
      </c>
      <c r="BA14" s="11">
        <v>50</v>
      </c>
      <c r="BB14">
        <v>20</v>
      </c>
      <c r="BC14" s="7">
        <f t="shared" si="0"/>
        <v>316672.53948185116</v>
      </c>
      <c r="BD14" s="8">
        <f t="shared" si="1"/>
        <v>0.45127171996978099</v>
      </c>
      <c r="BE14" s="9">
        <f t="shared" si="2"/>
        <v>14.2960229584299</v>
      </c>
      <c r="BF14"/>
      <c r="BG14"/>
    </row>
    <row r="15" spans="1:60" ht="15" x14ac:dyDescent="0.25">
      <c r="A15" s="40">
        <f t="shared" si="5"/>
        <v>1.5464136747108357</v>
      </c>
      <c r="B15" s="5">
        <v>355.14670000000001</v>
      </c>
      <c r="C15" s="5">
        <v>0.74050747846309894</v>
      </c>
      <c r="D15" s="5">
        <v>0.89559540000000004</v>
      </c>
      <c r="E15" s="19">
        <v>4.8746627761430197E-3</v>
      </c>
      <c r="F15" s="43">
        <f t="shared" si="3"/>
        <v>100914067.29810569</v>
      </c>
      <c r="G15" s="19">
        <f t="shared" si="4"/>
        <v>0.19406296474015525</v>
      </c>
      <c r="H15" s="19">
        <f t="shared" si="6"/>
        <v>77.275039450566368</v>
      </c>
      <c r="I15" s="19">
        <f t="shared" si="7"/>
        <v>0.4405257821514596</v>
      </c>
      <c r="J15" s="19">
        <f t="shared" si="8"/>
        <v>2.2700146972469013</v>
      </c>
      <c r="K15" s="19">
        <f t="shared" si="9"/>
        <v>186.21501538519576</v>
      </c>
      <c r="L15" s="19">
        <f t="shared" si="10"/>
        <v>5.3701362262943532E-3</v>
      </c>
      <c r="M15" s="19">
        <f t="shared" si="11"/>
        <v>7.3281213324387265E-2</v>
      </c>
      <c r="N15" s="19">
        <f t="shared" si="12"/>
        <v>7.3281156863112415E-2</v>
      </c>
      <c r="O15" s="19">
        <f t="shared" si="13"/>
        <v>77.274979912152048</v>
      </c>
      <c r="P15" s="19">
        <f t="shared" si="14"/>
        <v>1.5633105183664726</v>
      </c>
      <c r="Q15" s="5">
        <v>359.02719999999999</v>
      </c>
      <c r="R15" s="5">
        <v>0.74050747846309894</v>
      </c>
      <c r="S15" s="5">
        <v>0.88694689999999998</v>
      </c>
      <c r="T15" s="19">
        <v>4.8746627761430197E-3</v>
      </c>
      <c r="U15" s="43">
        <f t="shared" si="15"/>
        <v>102016701.89431705</v>
      </c>
      <c r="V15" s="19">
        <f t="shared" si="16"/>
        <v>0.18805690779659076</v>
      </c>
      <c r="W15" s="19">
        <f t="shared" si="17"/>
        <v>74.14076560493865</v>
      </c>
      <c r="X15" s="19">
        <f t="shared" si="18"/>
        <v>0.4336552868311313</v>
      </c>
      <c r="Y15" s="19">
        <f t="shared" si="19"/>
        <v>2.3059790353470491</v>
      </c>
      <c r="Z15" s="19">
        <f t="shared" si="20"/>
        <v>202.29215240381492</v>
      </c>
      <c r="AA15" s="19">
        <f t="shared" si="21"/>
        <v>4.9433454937184282E-3</v>
      </c>
      <c r="AB15" s="19">
        <f t="shared" si="22"/>
        <v>7.0308928975759744E-2</v>
      </c>
      <c r="AC15" s="19">
        <f t="shared" si="23"/>
        <v>7.0308872239879527E-2</v>
      </c>
      <c r="AD15" s="19">
        <f t="shared" si="24"/>
        <v>74.14070577695297</v>
      </c>
      <c r="AE15" s="19">
        <f t="shared" si="25"/>
        <v>1.5594351953788379</v>
      </c>
      <c r="AF15" s="5">
        <v>358.13720000000001</v>
      </c>
      <c r="AG15" s="5">
        <v>0.74050747846309894</v>
      </c>
      <c r="AH15" s="5">
        <v>2.3662329999999998</v>
      </c>
      <c r="AI15" s="5">
        <v>5.60396945294637E-3</v>
      </c>
      <c r="AJ15" s="52">
        <f t="shared" si="26"/>
        <v>101763810.56829512</v>
      </c>
      <c r="AK15" s="38">
        <f t="shared" si="27"/>
        <v>0.50420252226847107</v>
      </c>
      <c r="AL15" s="38">
        <f t="shared" si="28"/>
        <v>208.3976573331696</v>
      </c>
      <c r="AM15" s="38">
        <f t="shared" si="29"/>
        <v>0.71007219511009656</v>
      </c>
      <c r="AN15" s="38">
        <f t="shared" si="30"/>
        <v>1.4083075029363039</v>
      </c>
      <c r="AO15" s="38">
        <f t="shared" si="31"/>
        <v>25.60398139442605</v>
      </c>
      <c r="AP15" s="38">
        <f t="shared" si="32"/>
        <v>3.9056425818904034E-2</v>
      </c>
      <c r="AQ15" s="38">
        <f t="shared" si="33"/>
        <v>0.1976269865653576</v>
      </c>
      <c r="AR15" s="38">
        <f t="shared" si="34"/>
        <v>0.19762695182951376</v>
      </c>
      <c r="AS15" s="52">
        <f t="shared" si="35"/>
        <v>208.39762070422225</v>
      </c>
      <c r="AT15" s="16"/>
      <c r="AU15" s="16"/>
      <c r="AX15" t="s">
        <v>37</v>
      </c>
      <c r="AY15" s="8">
        <f>AY14/AY10</f>
        <v>27.979809571034096</v>
      </c>
      <c r="AZ15" t="s">
        <v>34</v>
      </c>
      <c r="BA15" s="11">
        <v>75</v>
      </c>
      <c r="BB15">
        <v>40</v>
      </c>
      <c r="BC15" s="7">
        <f t="shared" si="0"/>
        <v>950017.61844555335</v>
      </c>
      <c r="BD15" s="8">
        <f t="shared" si="1"/>
        <v>1.3538151599093429</v>
      </c>
      <c r="BE15" s="9">
        <f t="shared" si="2"/>
        <v>21.444034437644849</v>
      </c>
      <c r="BF15"/>
      <c r="BG15"/>
    </row>
    <row r="16" spans="1:60" ht="15" x14ac:dyDescent="0.25">
      <c r="A16" s="40">
        <f t="shared" si="5"/>
        <v>2.3563657585765929</v>
      </c>
      <c r="B16" s="5">
        <v>541.15890000000002</v>
      </c>
      <c r="C16" s="5">
        <v>0.74050747846309894</v>
      </c>
      <c r="D16" s="5">
        <v>2.1982460000000001</v>
      </c>
      <c r="E16" s="5">
        <v>5.60396945294637E-3</v>
      </c>
      <c r="F16" s="43">
        <f t="shared" si="3"/>
        <v>153768979.56131607</v>
      </c>
      <c r="G16" s="19">
        <f t="shared" si="4"/>
        <v>0.20515072482711605</v>
      </c>
      <c r="H16" s="19">
        <f t="shared" si="6"/>
        <v>83.01127218402884</v>
      </c>
      <c r="I16" s="19">
        <f t="shared" si="7"/>
        <v>0.45293567404998697</v>
      </c>
      <c r="J16" s="19">
        <f t="shared" si="8"/>
        <v>2.2078190288222643</v>
      </c>
      <c r="K16" s="19">
        <f t="shared" si="9"/>
        <v>161.36859912752971</v>
      </c>
      <c r="L16" s="19">
        <f t="shared" si="10"/>
        <v>6.1969925091169649E-3</v>
      </c>
      <c r="M16" s="19">
        <f t="shared" si="11"/>
        <v>7.8720978837391015E-2</v>
      </c>
      <c r="N16" s="19">
        <f t="shared" si="12"/>
        <v>7.8720942798745391E-2</v>
      </c>
      <c r="O16" s="19">
        <f t="shared" si="13"/>
        <v>83.011234181277032</v>
      </c>
      <c r="P16" s="5">
        <f t="shared" si="14"/>
        <v>2.3629620808170064</v>
      </c>
      <c r="Q16" s="5">
        <v>542.67380000000003</v>
      </c>
      <c r="R16" s="5">
        <v>0.74050747846309894</v>
      </c>
      <c r="S16" s="5">
        <v>2.2286049999999999</v>
      </c>
      <c r="T16" s="5">
        <v>5.60396945294637E-3</v>
      </c>
      <c r="U16" s="43">
        <f t="shared" si="15"/>
        <v>154199434.69591227</v>
      </c>
      <c r="V16" s="19">
        <f t="shared" si="16"/>
        <v>0.20682439671066424</v>
      </c>
      <c r="W16" s="19">
        <f t="shared" si="17"/>
        <v>83.87116794369885</v>
      </c>
      <c r="X16" s="19">
        <f t="shared" si="18"/>
        <v>0.45477950339770618</v>
      </c>
      <c r="Y16" s="19">
        <f t="shared" si="19"/>
        <v>2.1988677865402759</v>
      </c>
      <c r="Z16" s="19">
        <f t="shared" si="20"/>
        <v>158.07667288619109</v>
      </c>
      <c r="AA16" s="19">
        <f t="shared" si="21"/>
        <v>6.3260440755857775E-3</v>
      </c>
      <c r="AB16" s="19">
        <f t="shared" si="22"/>
        <v>7.9536432379041094E-2</v>
      </c>
      <c r="AC16" s="19">
        <f t="shared" si="23"/>
        <v>7.9536396586704014E-2</v>
      </c>
      <c r="AD16" s="19">
        <f t="shared" si="24"/>
        <v>83.871130200679389</v>
      </c>
      <c r="AE16" s="5">
        <f t="shared" si="25"/>
        <v>2.3748157794341282</v>
      </c>
      <c r="AF16" s="5">
        <v>545.39610000000005</v>
      </c>
      <c r="AG16" s="5">
        <v>0.74050747846309894</v>
      </c>
      <c r="AH16" s="5">
        <v>4.0821300000000003</v>
      </c>
      <c r="AI16" s="5">
        <f>2*0.00718389996195826</f>
        <v>1.436779992391652E-2</v>
      </c>
      <c r="AJ16" s="52">
        <f t="shared" si="26"/>
        <v>154972969.59122634</v>
      </c>
      <c r="AK16" s="38">
        <f t="shared" si="27"/>
        <v>0.37506725486271075</v>
      </c>
      <c r="AL16" s="38">
        <f t="shared" si="28"/>
        <v>160.92488636188389</v>
      </c>
      <c r="AM16" s="38">
        <f t="shared" si="29"/>
        <v>0.61242734659934217</v>
      </c>
      <c r="AN16" s="38">
        <f t="shared" si="30"/>
        <v>1.6328467459083156</v>
      </c>
      <c r="AO16" s="38">
        <f t="shared" si="31"/>
        <v>42.938487843929657</v>
      </c>
      <c r="AP16" s="38">
        <f t="shared" si="32"/>
        <v>2.3289129408439867E-2</v>
      </c>
      <c r="AQ16" s="38">
        <f t="shared" si="33"/>
        <v>0.15260776326399605</v>
      </c>
      <c r="AR16" s="38">
        <f t="shared" si="34"/>
        <v>0.15260773681780132</v>
      </c>
      <c r="AS16" s="52">
        <f t="shared" si="35"/>
        <v>160.92485847437149</v>
      </c>
      <c r="AT16" s="16"/>
      <c r="AU16" s="16"/>
      <c r="AX16" t="s">
        <v>38</v>
      </c>
      <c r="AY16" s="8">
        <f>PI()*(AY12/2)^2</f>
        <v>50.26548245743669</v>
      </c>
      <c r="AZ16" t="s">
        <v>39</v>
      </c>
      <c r="BA16" s="11">
        <v>75</v>
      </c>
      <c r="BB16" s="11">
        <v>30</v>
      </c>
      <c r="BC16" s="7">
        <f t="shared" si="0"/>
        <v>712513.21383416501</v>
      </c>
      <c r="BD16" s="8">
        <f t="shared" si="1"/>
        <v>1.015361369932007</v>
      </c>
      <c r="BE16" s="9">
        <f t="shared" si="2"/>
        <v>21.444034437644849</v>
      </c>
      <c r="BF16"/>
      <c r="BG16"/>
    </row>
    <row r="17" spans="1:57" ht="15" x14ac:dyDescent="0.25">
      <c r="A17" s="40">
        <f t="shared" si="5"/>
        <v>2.3554935931896006</v>
      </c>
      <c r="B17" s="5">
        <v>540.95860000000005</v>
      </c>
      <c r="C17" s="5">
        <f>2*0.740507478463099</f>
        <v>1.4810149569261979</v>
      </c>
      <c r="D17" s="5">
        <v>2.185082</v>
      </c>
      <c r="E17" s="5">
        <v>5.60396945294637E-3</v>
      </c>
      <c r="F17" s="43">
        <f t="shared" si="3"/>
        <v>153712064.80558327</v>
      </c>
      <c r="G17" s="19">
        <f t="shared" si="4"/>
        <v>0.20407323796258986</v>
      </c>
      <c r="H17" s="19">
        <f t="shared" si="6"/>
        <v>82.456830799846557</v>
      </c>
      <c r="I17" s="19">
        <f t="shared" si="7"/>
        <v>0.45174466013732789</v>
      </c>
      <c r="J17" s="19">
        <f t="shared" si="8"/>
        <v>2.2136398904992158</v>
      </c>
      <c r="K17" s="19">
        <f t="shared" si="9"/>
        <v>163.54598639095374</v>
      </c>
      <c r="L17" s="19">
        <f t="shared" si="10"/>
        <v>6.1144881758792785E-3</v>
      </c>
      <c r="M17" s="19">
        <f t="shared" si="11"/>
        <v>7.8195192792647292E-2</v>
      </c>
      <c r="N17" s="19">
        <f t="shared" si="12"/>
        <v>7.8195156645607486E-2</v>
      </c>
      <c r="O17" s="19">
        <f t="shared" si="13"/>
        <v>82.456792682793107</v>
      </c>
      <c r="P17" s="5">
        <f t="shared" si="14"/>
        <v>2.3657314127497431</v>
      </c>
      <c r="Q17" s="5">
        <v>543.3098</v>
      </c>
      <c r="R17" s="5">
        <f>2*0.740507478463099</f>
        <v>1.4810149569261979</v>
      </c>
      <c r="S17" s="5">
        <v>2.2269830000000002</v>
      </c>
      <c r="T17" s="5">
        <v>5.60396945294637E-3</v>
      </c>
      <c r="U17" s="43">
        <f t="shared" si="15"/>
        <v>154380152.54237291</v>
      </c>
      <c r="V17" s="19">
        <f t="shared" si="16"/>
        <v>0.20619028510982496</v>
      </c>
      <c r="W17" s="19">
        <f t="shared" si="17"/>
        <v>83.545565904873229</v>
      </c>
      <c r="X17" s="19">
        <f t="shared" si="18"/>
        <v>0.45408180442495705</v>
      </c>
      <c r="Y17" s="19">
        <f t="shared" si="19"/>
        <v>2.2022463579362892</v>
      </c>
      <c r="Z17" s="19">
        <f t="shared" si="20"/>
        <v>159.31121797735523</v>
      </c>
      <c r="AA17" s="19">
        <f t="shared" si="21"/>
        <v>6.277021873890524E-3</v>
      </c>
      <c r="AB17" s="19">
        <f t="shared" si="22"/>
        <v>7.9227658515764077E-2</v>
      </c>
      <c r="AC17" s="19">
        <f t="shared" si="23"/>
        <v>7.9227622710394879E-2</v>
      </c>
      <c r="AD17" s="19">
        <f t="shared" si="24"/>
        <v>83.545528148111416</v>
      </c>
      <c r="AE17" s="5">
        <f t="shared" si="25"/>
        <v>2.3785691821479942</v>
      </c>
      <c r="AF17" s="5">
        <v>546.25810000000001</v>
      </c>
      <c r="AG17" s="5">
        <f>2*0.740507478463099</f>
        <v>1.4810149569261979</v>
      </c>
      <c r="AH17" s="5">
        <v>4.0969490000000004</v>
      </c>
      <c r="AI17" s="5">
        <v>7.1838999619582601E-3</v>
      </c>
      <c r="AJ17" s="52">
        <f t="shared" si="26"/>
        <v>155217904.78564307</v>
      </c>
      <c r="AK17" s="38">
        <f t="shared" si="27"/>
        <v>0.375241750222572</v>
      </c>
      <c r="AL17" s="38">
        <f t="shared" si="28"/>
        <v>160.99524906077627</v>
      </c>
      <c r="AM17" s="38">
        <f t="shared" si="29"/>
        <v>0.61256979212378082</v>
      </c>
      <c r="AN17" s="38">
        <f t="shared" si="30"/>
        <v>1.6324670476044825</v>
      </c>
      <c r="AO17" s="38">
        <f t="shared" si="31"/>
        <v>42.900963659971545</v>
      </c>
      <c r="AP17" s="38">
        <f t="shared" si="32"/>
        <v>2.3309499710213812E-2</v>
      </c>
      <c r="AQ17" s="38">
        <f t="shared" si="33"/>
        <v>0.15267448938907185</v>
      </c>
      <c r="AR17" s="38">
        <f t="shared" si="34"/>
        <v>0.15267446299074947</v>
      </c>
      <c r="AS17" s="52">
        <f t="shared" si="35"/>
        <v>160.99522122374532</v>
      </c>
      <c r="AT17" s="16"/>
      <c r="AU17" s="16"/>
      <c r="AY17" s="20">
        <f>AY16/1000000</f>
        <v>5.0265482457436693E-5</v>
      </c>
      <c r="AZ17" s="1" t="s">
        <v>40</v>
      </c>
      <c r="BA17" s="11">
        <v>75</v>
      </c>
      <c r="BB17" s="1">
        <v>20</v>
      </c>
      <c r="BC17" s="7">
        <f t="shared" si="0"/>
        <v>475008.80922277668</v>
      </c>
      <c r="BD17" s="8">
        <f t="shared" si="1"/>
        <v>0.67690757995467143</v>
      </c>
      <c r="BE17" s="9">
        <f t="shared" si="2"/>
        <v>21.444034437644849</v>
      </c>
    </row>
    <row r="18" spans="1:57" x14ac:dyDescent="0.2">
      <c r="A18" s="40">
        <f t="shared" si="5"/>
        <v>3.0273430995216266</v>
      </c>
      <c r="B18" s="5">
        <v>695.25440000000003</v>
      </c>
      <c r="C18" s="5">
        <v>1.09006671605214</v>
      </c>
      <c r="D18" s="5">
        <v>3.713549</v>
      </c>
      <c r="E18" s="5">
        <v>7.1838999619582601E-3</v>
      </c>
      <c r="F18" s="43">
        <f t="shared" si="3"/>
        <v>197554839.48155537</v>
      </c>
      <c r="G18" s="19">
        <f t="shared" si="4"/>
        <v>0.20996554884731478</v>
      </c>
      <c r="H18" s="19">
        <f t="shared" si="6"/>
        <v>85.48061214406863</v>
      </c>
      <c r="I18" s="19">
        <f t="shared" si="7"/>
        <v>0.45821997866452174</v>
      </c>
      <c r="J18" s="19">
        <f t="shared" si="8"/>
        <v>2.1823579210022479</v>
      </c>
      <c r="K18" s="19">
        <f t="shared" si="9"/>
        <v>152.18011957226742</v>
      </c>
      <c r="L18" s="19">
        <f t="shared" si="10"/>
        <v>6.5711605616469446E-3</v>
      </c>
      <c r="M18" s="19">
        <f t="shared" si="11"/>
        <v>8.10626952527915E-2</v>
      </c>
      <c r="N18" s="19">
        <f t="shared" si="12"/>
        <v>8.1062667525207618E-2</v>
      </c>
      <c r="O18" s="19">
        <f t="shared" si="13"/>
        <v>85.480582905331431</v>
      </c>
      <c r="P18" s="5">
        <f t="shared" si="14"/>
        <v>3.009803561851411</v>
      </c>
      <c r="Q18" s="5">
        <v>691.22630000000004</v>
      </c>
      <c r="R18" s="5">
        <v>1.09006671605214</v>
      </c>
      <c r="S18" s="5">
        <v>3.9272680000000002</v>
      </c>
      <c r="T18" s="5">
        <v>7.1838999619582601E-3</v>
      </c>
      <c r="U18" s="43">
        <f t="shared" si="15"/>
        <v>196410264.70588237</v>
      </c>
      <c r="V18" s="19">
        <f t="shared" si="16"/>
        <v>0.22464481843558864</v>
      </c>
      <c r="W18" s="19">
        <f t="shared" si="17"/>
        <v>92.922536706640372</v>
      </c>
      <c r="X18" s="19">
        <f t="shared" si="18"/>
        <v>0.4739671069131155</v>
      </c>
      <c r="Y18" s="19">
        <f t="shared" si="19"/>
        <v>2.109851053827061</v>
      </c>
      <c r="Z18" s="19">
        <f t="shared" si="20"/>
        <v>128.78078077875659</v>
      </c>
      <c r="AA18" s="19">
        <f t="shared" si="21"/>
        <v>7.7651338495763949E-3</v>
      </c>
      <c r="AB18" s="19">
        <f t="shared" si="22"/>
        <v>8.811999687685193E-2</v>
      </c>
      <c r="AC18" s="19">
        <f t="shared" si="23"/>
        <v>8.8119969914278701E-2</v>
      </c>
      <c r="AD18" s="19">
        <f t="shared" si="24"/>
        <v>92.922508274606884</v>
      </c>
      <c r="AE18" s="5">
        <f t="shared" si="25"/>
        <v>3.0397232324636976</v>
      </c>
      <c r="AF18" s="5">
        <v>698.09760000000006</v>
      </c>
      <c r="AG18" s="5">
        <v>1.09006671605214</v>
      </c>
      <c r="AH18" s="5">
        <v>4.8171299999999997</v>
      </c>
      <c r="AI18" s="5">
        <v>7.25141312429535E-3</v>
      </c>
      <c r="AJ18" s="52">
        <f t="shared" si="26"/>
        <v>198362727.81655037</v>
      </c>
      <c r="AK18" s="38">
        <f t="shared" si="27"/>
        <v>0.27014843235872393</v>
      </c>
      <c r="AL18" s="38">
        <f t="shared" si="28"/>
        <v>115.09607795884449</v>
      </c>
      <c r="AM18" s="38">
        <f t="shared" si="29"/>
        <v>0.51975805174977707</v>
      </c>
      <c r="AN18" s="38">
        <f t="shared" si="30"/>
        <v>1.9239721186299619</v>
      </c>
      <c r="AO18" s="38">
        <f t="shared" si="31"/>
        <v>83.940609556704416</v>
      </c>
      <c r="AP18" s="38">
        <f t="shared" si="32"/>
        <v>1.1913184872984152E-2</v>
      </c>
      <c r="AQ18" s="38">
        <f t="shared" si="33"/>
        <v>0.10914753718240348</v>
      </c>
      <c r="AR18" s="38">
        <f t="shared" si="34"/>
        <v>0.10914751283725523</v>
      </c>
      <c r="AS18" s="52">
        <f t="shared" si="35"/>
        <v>115.09605228688564</v>
      </c>
      <c r="AT18" s="16"/>
      <c r="AU18" s="16"/>
      <c r="AX18" s="1" t="s">
        <v>41</v>
      </c>
      <c r="AY18" s="20">
        <f>AY17*AY9</f>
        <v>3.166725394818512E-2</v>
      </c>
    </row>
    <row r="19" spans="1:57" ht="15.75" x14ac:dyDescent="0.25">
      <c r="A19" s="40">
        <f t="shared" si="5"/>
        <v>3.0305038826190698</v>
      </c>
      <c r="B19" s="5">
        <v>695.98030000000006</v>
      </c>
      <c r="C19" s="5">
        <v>1.09006671605214</v>
      </c>
      <c r="D19" s="5">
        <v>3.7720579999999999</v>
      </c>
      <c r="E19" s="5">
        <v>7.1838999619582601E-3</v>
      </c>
      <c r="F19" s="43">
        <f t="shared" si="3"/>
        <v>197761102.19341975</v>
      </c>
      <c r="G19" s="19">
        <f t="shared" si="4"/>
        <v>0.21282901885210273</v>
      </c>
      <c r="H19" s="19">
        <f t="shared" si="6"/>
        <v>86.942678916879402</v>
      </c>
      <c r="I19" s="19">
        <f t="shared" si="7"/>
        <v>0.46133395588456605</v>
      </c>
      <c r="J19" s="19">
        <f t="shared" si="8"/>
        <v>2.1676271326757006</v>
      </c>
      <c r="K19" s="19">
        <f t="shared" si="9"/>
        <v>147.10489781444483</v>
      </c>
      <c r="L19" s="19">
        <f t="shared" si="10"/>
        <v>6.7978701923397545E-3</v>
      </c>
      <c r="M19" s="19">
        <f t="shared" si="11"/>
        <v>8.2449197645215175E-2</v>
      </c>
      <c r="N19" s="19">
        <f t="shared" si="12"/>
        <v>8.2449170133515243E-2</v>
      </c>
      <c r="O19" s="19">
        <f t="shared" si="13"/>
        <v>86.942649905791825</v>
      </c>
      <c r="P19" s="5">
        <f t="shared" si="14"/>
        <v>3.0132734999287663</v>
      </c>
      <c r="Q19" s="5">
        <v>692.02319999999997</v>
      </c>
      <c r="R19" s="5">
        <v>1.09006671605214</v>
      </c>
      <c r="S19" s="5">
        <v>3.8899319999999999</v>
      </c>
      <c r="T19" s="5">
        <v>7.1838999619582601E-3</v>
      </c>
      <c r="U19" s="43">
        <f t="shared" si="15"/>
        <v>196636701.89431703</v>
      </c>
      <c r="V19" s="19">
        <f t="shared" si="16"/>
        <v>0.22199698465413989</v>
      </c>
      <c r="W19" s="19">
        <f t="shared" si="17"/>
        <v>91.590088185753586</v>
      </c>
      <c r="X19" s="19">
        <f t="shared" si="18"/>
        <v>0.47116555970713719</v>
      </c>
      <c r="Y19" s="19">
        <f t="shared" si="19"/>
        <v>2.1223962138097932</v>
      </c>
      <c r="Z19" s="19">
        <f t="shared" si="20"/>
        <v>132.55503044886206</v>
      </c>
      <c r="AA19" s="19">
        <f t="shared" si="21"/>
        <v>7.5440365907937876E-3</v>
      </c>
      <c r="AB19" s="19">
        <f t="shared" si="22"/>
        <v>8.6856413642250899E-2</v>
      </c>
      <c r="AC19" s="19">
        <f t="shared" si="23"/>
        <v>8.6856386550591788E-2</v>
      </c>
      <c r="AD19" s="19">
        <f t="shared" si="24"/>
        <v>91.590059617599053</v>
      </c>
      <c r="AE19" s="5">
        <f t="shared" si="25"/>
        <v>3.0207219577969102</v>
      </c>
      <c r="AF19" s="5">
        <v>693.73379999999997</v>
      </c>
      <c r="AG19" s="5">
        <v>1.09006671605214</v>
      </c>
      <c r="AH19" s="5">
        <v>4.8583619999999996</v>
      </c>
      <c r="AI19" s="5">
        <v>7.25141312429535E-3</v>
      </c>
      <c r="AJ19" s="52">
        <f t="shared" si="26"/>
        <v>197122764.70588237</v>
      </c>
      <c r="AK19" s="38">
        <f t="shared" si="27"/>
        <v>0.27589926072330745</v>
      </c>
      <c r="AL19" s="38">
        <f t="shared" si="28"/>
        <v>117.79832409224808</v>
      </c>
      <c r="AM19" s="38">
        <f t="shared" si="29"/>
        <v>0.52526113574421951</v>
      </c>
      <c r="AN19" s="38">
        <f t="shared" si="30"/>
        <v>1.9038149445097319</v>
      </c>
      <c r="AO19" s="38">
        <f t="shared" si="31"/>
        <v>80.133653631270235</v>
      </c>
      <c r="AP19" s="38">
        <f t="shared" si="32"/>
        <v>1.2479151451167254E-2</v>
      </c>
      <c r="AQ19" s="38">
        <f t="shared" si="33"/>
        <v>0.11171012242033958</v>
      </c>
      <c r="AR19" s="38">
        <f t="shared" si="34"/>
        <v>0.11171009817871777</v>
      </c>
      <c r="AS19" s="52">
        <f t="shared" si="35"/>
        <v>117.79829852945791</v>
      </c>
      <c r="AT19" s="16"/>
      <c r="AU19" s="16"/>
      <c r="AX19" s="1" t="s">
        <v>45</v>
      </c>
      <c r="AY19" s="20">
        <f>AY$18*0.04</f>
        <v>1.2666901579274049E-3</v>
      </c>
      <c r="AZ19" s="1" t="s">
        <v>46</v>
      </c>
      <c r="BA19" s="12" t="s">
        <v>47</v>
      </c>
      <c r="BB19" s="12" t="s">
        <v>58</v>
      </c>
      <c r="BC19" s="12"/>
      <c r="BD19" s="12"/>
      <c r="BE19" s="12"/>
    </row>
    <row r="20" spans="1:57" ht="15.75" x14ac:dyDescent="0.25">
      <c r="A20" s="40">
        <f t="shared" si="5"/>
        <v>3.9286496090924117</v>
      </c>
      <c r="B20" s="5">
        <v>902.24689999999998</v>
      </c>
      <c r="C20" s="5">
        <v>2.19902662157455</v>
      </c>
      <c r="D20" s="5">
        <v>5.6853837712721917</v>
      </c>
      <c r="E20" s="5">
        <v>2.9838612546594302E-2</v>
      </c>
      <c r="F20" s="43">
        <f t="shared" si="3"/>
        <v>256371252.74177471</v>
      </c>
      <c r="G20" s="19">
        <f t="shared" si="4"/>
        <v>0.1908777746782748</v>
      </c>
      <c r="H20" s="19">
        <f t="shared" si="6"/>
        <v>75.615084941542491</v>
      </c>
      <c r="I20" s="19">
        <f t="shared" si="7"/>
        <v>0.43689561073358796</v>
      </c>
      <c r="J20" s="19">
        <f t="shared" si="8"/>
        <v>2.2888762794410042</v>
      </c>
      <c r="K20" s="19">
        <f t="shared" si="9"/>
        <v>194.4805971985609</v>
      </c>
      <c r="L20" s="19">
        <f t="shared" si="10"/>
        <v>5.1419011171537051E-3</v>
      </c>
      <c r="M20" s="19">
        <f t="shared" si="11"/>
        <v>7.1707050679509235E-2</v>
      </c>
      <c r="N20" s="19">
        <f t="shared" si="12"/>
        <v>7.1707028270290574E-2</v>
      </c>
      <c r="O20" s="19">
        <f t="shared" si="13"/>
        <v>75.615061311021421</v>
      </c>
      <c r="P20" s="5">
        <f t="shared" si="14"/>
        <v>3.9022273086190777</v>
      </c>
      <c r="Q20" s="5">
        <v>896.17880000000002</v>
      </c>
      <c r="R20" s="5">
        <v>2.19902662157455</v>
      </c>
      <c r="S20" s="5">
        <v>6.6263582647123203</v>
      </c>
      <c r="T20" s="5">
        <v>2.99596355072013E-2</v>
      </c>
      <c r="U20" s="43">
        <f t="shared" si="15"/>
        <v>254647016.94915256</v>
      </c>
      <c r="V20" s="19">
        <f t="shared" si="16"/>
        <v>0.22549242428464242</v>
      </c>
      <c r="W20" s="19">
        <f t="shared" si="17"/>
        <v>93.348127171980053</v>
      </c>
      <c r="X20" s="19">
        <f t="shared" si="18"/>
        <v>0.47486042610923307</v>
      </c>
      <c r="Y20" s="19">
        <f t="shared" si="19"/>
        <v>2.1058819497625771</v>
      </c>
      <c r="Z20" s="19">
        <f t="shared" si="20"/>
        <v>127.60918934507635</v>
      </c>
      <c r="AA20" s="19">
        <f t="shared" si="21"/>
        <v>7.8364262411842033E-3</v>
      </c>
      <c r="AB20" s="19">
        <f t="shared" si="22"/>
        <v>8.8523591438577562E-2</v>
      </c>
      <c r="AC20" s="19">
        <f t="shared" si="23"/>
        <v>8.8523570681359368E-2</v>
      </c>
      <c r="AD20" s="19">
        <f t="shared" si="24"/>
        <v>93.348105283493453</v>
      </c>
      <c r="AE20" s="5">
        <f t="shared" si="25"/>
        <v>3.9023213614016985</v>
      </c>
      <c r="AF20" s="5">
        <v>896.20039999999995</v>
      </c>
      <c r="AG20" s="5">
        <v>2.19902662157455</v>
      </c>
      <c r="AH20" s="5">
        <v>8.1110456332714644</v>
      </c>
      <c r="AI20" s="5">
        <v>2.99596355072013E-2</v>
      </c>
      <c r="AJ20" s="52">
        <f t="shared" si="26"/>
        <v>254653154.53639081</v>
      </c>
      <c r="AK20" s="38">
        <f t="shared" si="27"/>
        <v>0.27600245989078176</v>
      </c>
      <c r="AL20" s="38">
        <f t="shared" si="28"/>
        <v>117.84660910788827</v>
      </c>
      <c r="AM20" s="38">
        <f t="shared" si="29"/>
        <v>0.52535936261837168</v>
      </c>
      <c r="AN20" s="38">
        <f t="shared" si="30"/>
        <v>1.9034589866563658</v>
      </c>
      <c r="AO20" s="38">
        <f t="shared" si="31"/>
        <v>80.06800113472697</v>
      </c>
      <c r="AP20" s="38">
        <f t="shared" si="32"/>
        <v>1.2489383846579898E-2</v>
      </c>
      <c r="AQ20" s="38">
        <f t="shared" si="33"/>
        <v>0.11175591190885563</v>
      </c>
      <c r="AR20" s="38">
        <f t="shared" si="34"/>
        <v>0.11175589314732855</v>
      </c>
      <c r="AS20" s="52">
        <f t="shared" si="35"/>
        <v>117.84658932385796</v>
      </c>
      <c r="AT20" s="16"/>
      <c r="AU20" s="16"/>
      <c r="AX20" s="1" t="s">
        <v>49</v>
      </c>
      <c r="AY20" s="20">
        <f>AY$18*0.03</f>
        <v>9.5001761844555361E-4</v>
      </c>
      <c r="AZ20" s="1" t="s">
        <v>46</v>
      </c>
      <c r="BA20" s="12" t="s">
        <v>50</v>
      </c>
      <c r="BB20" s="12">
        <v>25</v>
      </c>
      <c r="BC20" s="12">
        <v>50</v>
      </c>
      <c r="BD20" s="12">
        <v>75</v>
      </c>
      <c r="BE20" s="12">
        <v>100</v>
      </c>
    </row>
    <row r="21" spans="1:57" ht="15.75" x14ac:dyDescent="0.25">
      <c r="A21" s="40">
        <f t="shared" si="5"/>
        <v>3.9421984349444616</v>
      </c>
      <c r="B21" s="5">
        <v>905.35850000000005</v>
      </c>
      <c r="C21" s="5">
        <v>2.19902662157455</v>
      </c>
      <c r="D21" s="5">
        <v>5.6897586437864947</v>
      </c>
      <c r="E21" s="5">
        <v>2.9838612546594302E-2</v>
      </c>
      <c r="F21" s="43">
        <f t="shared" si="3"/>
        <v>257255406.28115654</v>
      </c>
      <c r="G21" s="19">
        <f t="shared" si="4"/>
        <v>0.18971385647660699</v>
      </c>
      <c r="H21" s="19">
        <f t="shared" si="6"/>
        <v>75.007238571788037</v>
      </c>
      <c r="I21" s="19">
        <f t="shared" si="7"/>
        <v>0.43556154154907545</v>
      </c>
      <c r="J21" s="19">
        <f t="shared" si="8"/>
        <v>2.2958868141652227</v>
      </c>
      <c r="K21" s="19">
        <f t="shared" si="9"/>
        <v>197.64544693876456</v>
      </c>
      <c r="L21" s="19">
        <f t="shared" si="10"/>
        <v>5.0595650721457028E-3</v>
      </c>
      <c r="M21" s="19">
        <f t="shared" si="11"/>
        <v>7.1130619793065925E-2</v>
      </c>
      <c r="N21" s="19">
        <f t="shared" si="12"/>
        <v>7.1130597392464176E-2</v>
      </c>
      <c r="O21" s="19">
        <f t="shared" si="13"/>
        <v>75.007214950353472</v>
      </c>
      <c r="P21" s="5">
        <f t="shared" si="14"/>
        <v>3.89678052038848</v>
      </c>
      <c r="Q21" s="5">
        <v>894.92790000000002</v>
      </c>
      <c r="R21" s="5">
        <v>2.19902662157455</v>
      </c>
      <c r="S21" s="5">
        <v>6.6627278915856749</v>
      </c>
      <c r="T21" s="5">
        <v>2.99596355072013E-2</v>
      </c>
      <c r="U21" s="43">
        <f t="shared" si="15"/>
        <v>254291576.76969093</v>
      </c>
      <c r="V21" s="19">
        <f t="shared" si="16"/>
        <v>0.22736434294732225</v>
      </c>
      <c r="W21" s="19">
        <f t="shared" si="17"/>
        <v>94.286402197324648</v>
      </c>
      <c r="X21" s="19">
        <f t="shared" si="18"/>
        <v>0.47682737227147753</v>
      </c>
      <c r="Y21" s="19">
        <f t="shared" si="19"/>
        <v>2.0971950398658294</v>
      </c>
      <c r="Z21" s="19">
        <f t="shared" si="20"/>
        <v>125.08206425060698</v>
      </c>
      <c r="AA21" s="19">
        <f t="shared" si="21"/>
        <v>7.9947513337840313E-3</v>
      </c>
      <c r="AB21" s="19">
        <f t="shared" si="22"/>
        <v>8.941337334976257E-2</v>
      </c>
      <c r="AC21" s="19">
        <f t="shared" si="23"/>
        <v>8.9413352649275288E-2</v>
      </c>
      <c r="AD21" s="19">
        <f t="shared" si="24"/>
        <v>94.286380368660801</v>
      </c>
      <c r="AE21" s="5">
        <f t="shared" si="25"/>
        <v>3.9048333544708749</v>
      </c>
      <c r="AF21" s="5">
        <v>896.77729999999997</v>
      </c>
      <c r="AG21" s="5">
        <v>2.19902662157455</v>
      </c>
      <c r="AH21" s="5">
        <v>8.063603859895391</v>
      </c>
      <c r="AI21" s="5">
        <v>2.99596355072013E-2</v>
      </c>
      <c r="AJ21" s="52">
        <f t="shared" si="26"/>
        <v>254817079.26221335</v>
      </c>
      <c r="AK21" s="38">
        <f t="shared" si="27"/>
        <v>0.274035196273202</v>
      </c>
      <c r="AL21" s="38">
        <f t="shared" si="28"/>
        <v>116.92490554972565</v>
      </c>
      <c r="AM21" s="38">
        <f t="shared" si="29"/>
        <v>0.5234837115643638</v>
      </c>
      <c r="AN21" s="38">
        <f t="shared" si="30"/>
        <v>1.9102791126234444</v>
      </c>
      <c r="AO21" s="38">
        <f t="shared" si="31"/>
        <v>81.335307444133633</v>
      </c>
      <c r="AP21" s="38">
        <f t="shared" si="32"/>
        <v>1.2294783550020573E-2</v>
      </c>
      <c r="AQ21" s="38">
        <f t="shared" si="33"/>
        <v>0.11088184499736904</v>
      </c>
      <c r="AR21" s="38">
        <f t="shared" si="34"/>
        <v>0.11088182618073168</v>
      </c>
      <c r="AS21" s="52">
        <f t="shared" si="35"/>
        <v>116.92488570758155</v>
      </c>
      <c r="AT21" s="16"/>
      <c r="AU21" s="16"/>
      <c r="AX21" s="1" t="s">
        <v>51</v>
      </c>
      <c r="AY21" s="20">
        <f>AY$18*0.02</f>
        <v>6.3334507896370244E-4</v>
      </c>
      <c r="AZ21" s="1" t="s">
        <v>46</v>
      </c>
      <c r="BA21" s="12">
        <v>0.02</v>
      </c>
      <c r="BB21" s="13">
        <f>$AY21/4/$AX$2*100</f>
        <v>0.22563585998489052</v>
      </c>
      <c r="BC21" s="13">
        <f>$AY21/2/$AX$2*100</f>
        <v>0.45127171996978105</v>
      </c>
      <c r="BD21" s="13">
        <f>$AY21*3/4/$AX$2*100</f>
        <v>0.67690757995467166</v>
      </c>
      <c r="BE21" s="13">
        <f>$AY21/$AX$2*100</f>
        <v>0.9025434399395621</v>
      </c>
    </row>
    <row r="22" spans="1:57" s="39" customFormat="1" ht="15.75" x14ac:dyDescent="0.25">
      <c r="A22" s="68"/>
      <c r="B22" s="66"/>
      <c r="C22" s="66"/>
      <c r="D22" s="66"/>
      <c r="E22" s="66"/>
      <c r="F22" s="84"/>
      <c r="G22" s="69"/>
      <c r="H22" s="69">
        <f>AVERAGE(H12:H21)</f>
        <v>78.304739024231026</v>
      </c>
      <c r="I22" s="69"/>
      <c r="J22" s="69"/>
      <c r="K22" s="69"/>
      <c r="L22" s="69"/>
      <c r="M22" s="69"/>
      <c r="N22" s="69"/>
      <c r="O22" s="69">
        <f>AVERAGE(O12:O21)</f>
        <v>78.30469217396076</v>
      </c>
      <c r="P22" s="66"/>
      <c r="Q22" s="66"/>
      <c r="R22" s="66"/>
      <c r="S22" s="66"/>
      <c r="T22" s="66"/>
      <c r="U22" s="84"/>
      <c r="V22" s="69"/>
      <c r="W22" s="69">
        <f>AVERAGE(W12:W21)</f>
        <v>77.652429585297313</v>
      </c>
      <c r="X22" s="69"/>
      <c r="Y22" s="69"/>
      <c r="Z22" s="69"/>
      <c r="AA22" s="69"/>
      <c r="AB22" s="69"/>
      <c r="AC22" s="69"/>
      <c r="AD22" s="69">
        <f>AVERAGE(AD12:AD21)</f>
        <v>77.652380359520777</v>
      </c>
      <c r="AE22" s="66"/>
      <c r="AF22" s="66"/>
      <c r="AG22" s="66"/>
      <c r="AH22" s="66"/>
      <c r="AI22" s="66"/>
      <c r="AJ22" s="85"/>
      <c r="AK22" s="86"/>
      <c r="AL22" s="86">
        <f>AVERAGE(AL12:AL21)</f>
        <v>166.75098601855589</v>
      </c>
      <c r="AM22" s="86"/>
      <c r="AN22" s="86"/>
      <c r="AO22" s="86"/>
      <c r="AP22" s="86"/>
      <c r="AQ22" s="86"/>
      <c r="AR22" s="86"/>
      <c r="AS22" s="85">
        <f>AVERAGE(AS12:AS21)</f>
        <v>166.75095504958946</v>
      </c>
      <c r="AT22" s="87"/>
      <c r="AU22" s="87"/>
      <c r="AY22" s="72"/>
      <c r="BA22" s="12">
        <v>0.03</v>
      </c>
      <c r="BB22" s="13">
        <f>$AY20/4/$AX$2*100</f>
        <v>0.33845378997733577</v>
      </c>
      <c r="BC22" s="13">
        <f>$AY20/2/$AX$2*100</f>
        <v>0.67690757995467155</v>
      </c>
      <c r="BD22" s="13">
        <f>$AY20*3/4/$AX$2*100</f>
        <v>1.0153613699320072</v>
      </c>
      <c r="BE22" s="13">
        <f>$AY20/$AX$2*100</f>
        <v>1.3538151599093431</v>
      </c>
    </row>
    <row r="23" spans="1:57" s="39" customFormat="1" ht="15.75" x14ac:dyDescent="0.25">
      <c r="A23" s="68"/>
      <c r="B23" s="66"/>
      <c r="C23" s="66"/>
      <c r="D23" s="66"/>
      <c r="E23" s="66"/>
      <c r="F23" s="84"/>
      <c r="G23" s="69"/>
      <c r="H23" s="69">
        <f>STDEV(H12:H21)</f>
        <v>7.461385504990055</v>
      </c>
      <c r="I23" s="69"/>
      <c r="J23" s="69"/>
      <c r="K23" s="69"/>
      <c r="L23" s="69"/>
      <c r="M23" s="69"/>
      <c r="N23" s="69"/>
      <c r="O23" s="69">
        <f>STDEV(O12:O21)</f>
        <v>7.4614005994131176</v>
      </c>
      <c r="P23" s="66"/>
      <c r="Q23" s="66"/>
      <c r="R23" s="66"/>
      <c r="S23" s="66"/>
      <c r="T23" s="66"/>
      <c r="U23" s="84"/>
      <c r="V23" s="69"/>
      <c r="W23" s="69">
        <f>STDEV(W12:W21)</f>
        <v>21.058730807521787</v>
      </c>
      <c r="X23" s="69"/>
      <c r="Y23" s="69"/>
      <c r="Z23" s="69"/>
      <c r="AA23" s="69"/>
      <c r="AB23" s="69"/>
      <c r="AC23" s="69"/>
      <c r="AD23" s="69">
        <f>STDEV(AD12:AD21)</f>
        <v>21.058759812739844</v>
      </c>
      <c r="AE23" s="66"/>
      <c r="AF23" s="66"/>
      <c r="AG23" s="66"/>
      <c r="AH23" s="66"/>
      <c r="AI23" s="66"/>
      <c r="AJ23" s="85"/>
      <c r="AK23" s="86"/>
      <c r="AL23" s="86">
        <f>STDEV(AL12:AL21)</f>
        <v>50.68050323511256</v>
      </c>
      <c r="AM23" s="86"/>
      <c r="AN23" s="86"/>
      <c r="AO23" s="86"/>
      <c r="AP23" s="86"/>
      <c r="AQ23" s="86"/>
      <c r="AR23" s="86"/>
      <c r="AS23" s="85">
        <f>STDEV(AS12:AS21)</f>
        <v>50.680495071052128</v>
      </c>
      <c r="AT23" s="87"/>
      <c r="AU23" s="87"/>
      <c r="AY23" s="72"/>
      <c r="BA23" s="12">
        <v>0.04</v>
      </c>
      <c r="BB23" s="13">
        <f>$AY19/4/$AX$2*100</f>
        <v>0.45127171996978105</v>
      </c>
      <c r="BC23" s="13">
        <f>$AY19/2/$AX$2*100</f>
        <v>0.9025434399395621</v>
      </c>
      <c r="BD23" s="13">
        <f>$AY19*3/4/$AX$2*100</f>
        <v>1.3538151599093433</v>
      </c>
      <c r="BE23" s="13">
        <f>$AY19/$AX$2*100</f>
        <v>1.8050868798791242</v>
      </c>
    </row>
    <row r="24" spans="1:57" x14ac:dyDescent="0.2">
      <c r="B24" s="56">
        <v>0.5</v>
      </c>
      <c r="C24" s="56"/>
      <c r="D24" s="57"/>
      <c r="E24" s="57"/>
      <c r="F24" s="57"/>
      <c r="G24" s="57"/>
      <c r="H24" s="57"/>
      <c r="I24" s="57"/>
      <c r="J24" s="57"/>
      <c r="K24" s="57"/>
      <c r="L24" s="57"/>
      <c r="M24" s="57"/>
      <c r="N24" s="57"/>
      <c r="O24" s="57"/>
      <c r="P24" s="57"/>
      <c r="Q24" s="57"/>
      <c r="R24" s="57"/>
      <c r="S24" s="57"/>
      <c r="T24" s="57"/>
      <c r="U24" s="57"/>
      <c r="V24" s="57"/>
      <c r="W24" s="57"/>
      <c r="X24" s="57"/>
      <c r="Y24" s="57"/>
      <c r="Z24" s="57"/>
      <c r="AA24" s="57"/>
      <c r="AB24" s="57"/>
      <c r="AC24" s="57"/>
      <c r="AD24" s="57"/>
      <c r="AE24" s="57"/>
      <c r="AF24" s="57"/>
      <c r="AG24" s="57"/>
      <c r="AH24" s="57"/>
      <c r="AI24" s="57"/>
      <c r="AJ24" s="35"/>
      <c r="AK24" s="35"/>
      <c r="AL24" s="35"/>
      <c r="AM24" s="35"/>
      <c r="AN24" s="35"/>
      <c r="AO24" s="35"/>
      <c r="AP24" s="35"/>
      <c r="AQ24" s="35"/>
      <c r="AR24" s="35"/>
      <c r="AS24" s="35"/>
      <c r="AT24" s="35"/>
      <c r="AU24" s="35"/>
    </row>
    <row r="25" spans="1:57" ht="15.75" x14ac:dyDescent="0.25">
      <c r="B25" s="58" t="s">
        <v>42</v>
      </c>
      <c r="C25" s="58"/>
      <c r="D25" s="58"/>
      <c r="E25" s="58"/>
      <c r="F25" s="42"/>
      <c r="G25" s="42"/>
      <c r="H25" s="42" t="s">
        <v>123</v>
      </c>
      <c r="I25" s="42"/>
      <c r="J25" s="42"/>
      <c r="K25" s="42"/>
      <c r="L25" s="42"/>
      <c r="M25" s="42"/>
      <c r="N25" s="42"/>
      <c r="O25" s="42"/>
      <c r="P25" s="42"/>
      <c r="Q25" s="58" t="s">
        <v>43</v>
      </c>
      <c r="R25" s="58"/>
      <c r="S25" s="58"/>
      <c r="T25" s="58"/>
      <c r="U25" s="42"/>
      <c r="V25" s="42"/>
      <c r="W25" s="42" t="s">
        <v>123</v>
      </c>
      <c r="X25" s="42"/>
      <c r="Y25" s="42"/>
      <c r="Z25" s="42"/>
      <c r="AA25" s="42"/>
      <c r="AB25" s="42"/>
      <c r="AC25" s="42"/>
      <c r="AD25" s="42"/>
      <c r="AE25" s="42"/>
      <c r="AF25" s="58" t="s">
        <v>44</v>
      </c>
      <c r="AG25" s="58"/>
      <c r="AH25" s="58"/>
      <c r="AI25" s="58"/>
      <c r="AJ25" s="36"/>
      <c r="AK25" s="36"/>
      <c r="AL25" s="36" t="s">
        <v>123</v>
      </c>
      <c r="AM25" s="36"/>
      <c r="AN25" s="36"/>
      <c r="AO25" s="36"/>
      <c r="AP25" s="36"/>
      <c r="AQ25" s="36"/>
      <c r="AR25" s="36"/>
      <c r="AS25" s="36"/>
      <c r="AT25" s="36"/>
      <c r="AU25" s="36"/>
      <c r="BA25" s="1" t="s">
        <v>52</v>
      </c>
      <c r="BB25" s="12" t="s">
        <v>58</v>
      </c>
      <c r="BC25" s="12"/>
      <c r="BD25" s="12"/>
      <c r="BE25" s="12"/>
    </row>
    <row r="26" spans="1:57" ht="15.75" x14ac:dyDescent="0.25">
      <c r="A26" s="39" t="s">
        <v>103</v>
      </c>
      <c r="B26" s="3" t="s">
        <v>8</v>
      </c>
      <c r="C26" s="3" t="s">
        <v>56</v>
      </c>
      <c r="D26" s="4" t="s">
        <v>9</v>
      </c>
      <c r="E26" s="3" t="s">
        <v>57</v>
      </c>
      <c r="F26" s="3" t="s">
        <v>104</v>
      </c>
      <c r="G26" s="3" t="s">
        <v>105</v>
      </c>
      <c r="H26" s="3" t="s">
        <v>125</v>
      </c>
      <c r="I26" s="3" t="s">
        <v>111</v>
      </c>
      <c r="J26" s="3" t="s">
        <v>112</v>
      </c>
      <c r="K26" s="3" t="s">
        <v>113</v>
      </c>
      <c r="L26" s="3" t="s">
        <v>115</v>
      </c>
      <c r="M26" s="3" t="s">
        <v>114</v>
      </c>
      <c r="N26" s="3" t="s">
        <v>116</v>
      </c>
      <c r="O26" s="3" t="s">
        <v>118</v>
      </c>
      <c r="P26" s="3" t="s">
        <v>103</v>
      </c>
      <c r="Q26" s="3" t="s">
        <v>8</v>
      </c>
      <c r="R26" s="3" t="s">
        <v>56</v>
      </c>
      <c r="S26" s="4" t="s">
        <v>9</v>
      </c>
      <c r="T26" s="3" t="s">
        <v>57</v>
      </c>
      <c r="U26" s="3" t="s">
        <v>104</v>
      </c>
      <c r="V26" s="3" t="s">
        <v>105</v>
      </c>
      <c r="W26" s="3" t="s">
        <v>125</v>
      </c>
      <c r="X26" s="3" t="s">
        <v>111</v>
      </c>
      <c r="Y26" s="3" t="s">
        <v>112</v>
      </c>
      <c r="Z26" s="3" t="s">
        <v>113</v>
      </c>
      <c r="AA26" s="3" t="s">
        <v>115</v>
      </c>
      <c r="AB26" s="3" t="s">
        <v>114</v>
      </c>
      <c r="AC26" s="3" t="s">
        <v>116</v>
      </c>
      <c r="AD26" s="3" t="s">
        <v>118</v>
      </c>
      <c r="AE26" s="3" t="s">
        <v>103</v>
      </c>
      <c r="AF26" s="3" t="s">
        <v>8</v>
      </c>
      <c r="AG26" s="3" t="s">
        <v>56</v>
      </c>
      <c r="AH26" s="4" t="s">
        <v>9</v>
      </c>
      <c r="AI26" s="3" t="s">
        <v>57</v>
      </c>
      <c r="AJ26" s="37" t="s">
        <v>104</v>
      </c>
      <c r="AK26" s="37" t="s">
        <v>105</v>
      </c>
      <c r="AL26" s="37" t="s">
        <v>125</v>
      </c>
      <c r="AM26" s="37" t="s">
        <v>111</v>
      </c>
      <c r="AN26" s="37" t="s">
        <v>112</v>
      </c>
      <c r="AO26" s="37" t="s">
        <v>113</v>
      </c>
      <c r="AP26" s="37" t="s">
        <v>115</v>
      </c>
      <c r="AQ26" s="37" t="s">
        <v>114</v>
      </c>
      <c r="AR26" s="37" t="s">
        <v>116</v>
      </c>
      <c r="AS26" s="37" t="s">
        <v>118</v>
      </c>
      <c r="AT26" s="37"/>
      <c r="AU26" s="37"/>
      <c r="AX26" s="1">
        <f>0.000050265*441</f>
        <v>2.2166865000000001E-2</v>
      </c>
      <c r="BA26" s="12" t="s">
        <v>50</v>
      </c>
      <c r="BB26" s="12">
        <v>25</v>
      </c>
      <c r="BC26" s="12">
        <v>50</v>
      </c>
      <c r="BD26" s="12">
        <v>75</v>
      </c>
      <c r="BE26" s="12">
        <v>100</v>
      </c>
    </row>
    <row r="27" spans="1:57" ht="15.75" x14ac:dyDescent="0.25">
      <c r="A27" s="41">
        <f t="shared" ref="A27:A36" si="36">(B27/3600)/(PI()*(G$5/1000/2)^2)</f>
        <v>1.1878957885269117</v>
      </c>
      <c r="B27" s="5">
        <v>272.81009999999998</v>
      </c>
      <c r="C27" s="5">
        <v>0.7405074784630995</v>
      </c>
      <c r="D27" s="5">
        <v>0.90341210000000005</v>
      </c>
      <c r="E27" s="19">
        <v>3.4469071050083734E-3</v>
      </c>
      <c r="F27" s="43">
        <f>B27*$G$5/1000/$BC$2</f>
        <v>77518323.529411748</v>
      </c>
      <c r="G27" s="19">
        <f>(D27/$BA$2)*($G$5/1000)*2*$BA$2/((A27^2)*$AY$2)</f>
        <v>0.33175034893842964</v>
      </c>
      <c r="H27" s="19">
        <f>((3.7^2)/(10^(1/(G27^0.5))))^0.5*$G$5</f>
        <v>142.87540352131523</v>
      </c>
      <c r="I27" s="19">
        <f>G27^0.5</f>
        <v>0.57597773302310018</v>
      </c>
      <c r="J27" s="19">
        <f>1/I27</f>
        <v>1.7361782281953146</v>
      </c>
      <c r="K27" s="19">
        <f>10^J27</f>
        <v>54.472615474035578</v>
      </c>
      <c r="L27" s="19">
        <f>1/K27</f>
        <v>1.8357848091150514E-2</v>
      </c>
      <c r="M27" s="19">
        <f>L27^0.5</f>
        <v>0.13549113657782383</v>
      </c>
      <c r="N27" s="19">
        <f>M27-(2.51/(F27*I27))</f>
        <v>0.13549108036134294</v>
      </c>
      <c r="O27" s="19">
        <f>N27*3.7*$G$5</f>
        <v>142.87534424103615</v>
      </c>
      <c r="P27" s="19">
        <f>(Q27/3600)/(PI()*($G$5/1000/2)^2)</f>
        <v>1.1820623388566485</v>
      </c>
      <c r="Q27" s="5">
        <v>271.47039999999998</v>
      </c>
      <c r="R27" s="5">
        <v>0.7405074784630995</v>
      </c>
      <c r="S27" s="5">
        <v>0.7518669</v>
      </c>
      <c r="T27" s="19">
        <v>3.4469071050083734E-3</v>
      </c>
      <c r="U27" s="43">
        <f>Q27*$G$5/1000/$BC$2</f>
        <v>77137651.046859413</v>
      </c>
      <c r="V27" s="19">
        <f>(S27/$BA$2)*($G$5/1000)*2*$BA$2/((P27^2)*$AY$2)</f>
        <v>0.2788318467099597</v>
      </c>
      <c r="W27" s="19">
        <f>((3.7^2)/(10^(1/(V27^0.5))))^0.5*$G$5</f>
        <v>119.16758526573111</v>
      </c>
      <c r="X27" s="19">
        <f>V27^0.5</f>
        <v>0.52804530744052602</v>
      </c>
      <c r="Y27" s="19">
        <f>1/X27</f>
        <v>1.8937768898034009</v>
      </c>
      <c r="Z27" s="19">
        <f>10^Y27</f>
        <v>78.30272746523103</v>
      </c>
      <c r="AA27" s="19">
        <f>1/Z27</f>
        <v>1.2770947224591029E-2</v>
      </c>
      <c r="AB27" s="19">
        <f>AA27^0.5</f>
        <v>0.11300861570956008</v>
      </c>
      <c r="AC27" s="19">
        <f>AB27-(2.51/(U27*X27))</f>
        <v>0.11300855408751263</v>
      </c>
      <c r="AD27" s="19">
        <f>AC27*3.7*$G$5</f>
        <v>119.16752028528208</v>
      </c>
      <c r="AE27" s="19">
        <f>(AF27/3600)/(PI()*($G$5/1000/2)^2)</f>
        <v>1.158836962133339</v>
      </c>
      <c r="AF27" s="5">
        <v>266.13650000000001</v>
      </c>
      <c r="AG27" s="5">
        <v>0.7405074784630995</v>
      </c>
      <c r="AH27" s="5">
        <v>0.82978359999999995</v>
      </c>
      <c r="AI27" s="19">
        <v>3.4469071050083734E-3</v>
      </c>
      <c r="AJ27" s="52">
        <f>AF27*$G$5/1000/$BC$2</f>
        <v>75622036.390827507</v>
      </c>
      <c r="AK27" s="38">
        <f>(AH27/$BA$2)*($G$5/1000)*2*$BA$2/((AE27^2)*$AY$2)</f>
        <v>0.32018600076692372</v>
      </c>
      <c r="AL27" s="38">
        <f>((3.7^2)/(10^(1/(AK27^0.5))))^0.5*$G$5</f>
        <v>137.85415971168823</v>
      </c>
      <c r="AM27" s="38">
        <f>AK27^0.5</f>
        <v>0.56584980407076546</v>
      </c>
      <c r="AN27" s="38">
        <f>1/AM27</f>
        <v>1.7672534174367931</v>
      </c>
      <c r="AO27" s="38">
        <f>10^AN27</f>
        <v>58.513141763151687</v>
      </c>
      <c r="AP27" s="38">
        <f>1/AO27</f>
        <v>1.7090177862056695E-2</v>
      </c>
      <c r="AQ27" s="38">
        <f>AP27^0.5</f>
        <v>0.13072940702862801</v>
      </c>
      <c r="AR27" s="38">
        <f>AQ27-(2.51/(AJ27*AM27))</f>
        <v>0.13072934837104233</v>
      </c>
      <c r="AS27" s="38">
        <f>AR27*3.7*$G$5</f>
        <v>137.85409785726415</v>
      </c>
      <c r="AT27" s="38"/>
      <c r="AU27" s="38"/>
      <c r="BA27" s="12">
        <v>0.02</v>
      </c>
      <c r="BB27" s="13">
        <f>$AY21/4</f>
        <v>1.5833626974092561E-4</v>
      </c>
      <c r="BC27" s="13">
        <f>$AY21/2</f>
        <v>3.1667253948185122E-4</v>
      </c>
      <c r="BD27" s="13">
        <f>$AY21*3/4</f>
        <v>4.7500880922277686E-4</v>
      </c>
      <c r="BE27" s="13">
        <f>$AY21</f>
        <v>6.3334507896370244E-4</v>
      </c>
    </row>
    <row r="28" spans="1:57" ht="15.75" x14ac:dyDescent="0.25">
      <c r="A28" s="41">
        <f t="shared" si="36"/>
        <v>1.1927033661793247</v>
      </c>
      <c r="B28" s="5">
        <v>273.91419999999999</v>
      </c>
      <c r="C28" s="5">
        <v>0.7405074784630995</v>
      </c>
      <c r="D28" s="5">
        <v>0.89082910000000004</v>
      </c>
      <c r="E28" s="19">
        <v>3.4469071050083734E-3</v>
      </c>
      <c r="F28" s="43">
        <f t="shared" ref="F28:F36" si="37">B28*$G$5/1000/$BC$2</f>
        <v>77832050.847457618</v>
      </c>
      <c r="G28" s="19">
        <f t="shared" ref="G28:G36" si="38">(D28/$BA$2)*($G$5/1000)*2*$BA$2/((A28^2)*$AY$2)</f>
        <v>0.32449773959893458</v>
      </c>
      <c r="H28" s="19">
        <f t="shared" ref="H28:H36" si="39">((3.7^2)/(10^(1/(G28^0.5))))^0.5*$G$5</f>
        <v>139.73656660626628</v>
      </c>
      <c r="I28" s="19">
        <f t="shared" ref="I28:I36" si="40">G28^0.5</f>
        <v>0.56964703071194411</v>
      </c>
      <c r="J28" s="19">
        <f t="shared" ref="J28:J36" si="41">1/I28</f>
        <v>1.7554730316950855</v>
      </c>
      <c r="K28" s="19">
        <f t="shared" ref="K28:K36" si="42">10^J28</f>
        <v>56.947286057801904</v>
      </c>
      <c r="L28" s="19">
        <f t="shared" ref="L28:L36" si="43">1/K28</f>
        <v>1.7560099334408892E-2</v>
      </c>
      <c r="M28" s="19">
        <f t="shared" ref="M28:M36" si="44">L28^0.5</f>
        <v>0.13251452499408845</v>
      </c>
      <c r="N28" s="19">
        <f t="shared" ref="N28:N36" si="45">M28-(2.51/(F28*I28))</f>
        <v>0.13251446838196965</v>
      </c>
      <c r="O28" s="19">
        <f t="shared" ref="O28:O36" si="46">N28*3.7*$G$5</f>
        <v>139.73650690878699</v>
      </c>
      <c r="P28" s="19">
        <f t="shared" ref="P28:P36" si="47">(Q28/3600)/(PI()*($G$5/1000/2)^2)</f>
        <v>1.1824803512238538</v>
      </c>
      <c r="Q28" s="5">
        <v>271.56639999999999</v>
      </c>
      <c r="R28" s="5">
        <v>0.7405074784630995</v>
      </c>
      <c r="S28" s="5">
        <v>0.72841820000000002</v>
      </c>
      <c r="T28" s="19">
        <v>3.4469071050083734E-3</v>
      </c>
      <c r="U28" s="43">
        <f t="shared" ref="U28:U36" si="48">Q28*$G$5/1000/$BC$2</f>
        <v>77164929.212362915</v>
      </c>
      <c r="V28" s="19">
        <f t="shared" ref="V28:V36" si="49">(S28/$BA$2)*($G$5/1000)*2*$BA$2/((P28^2)*$AY$2)</f>
        <v>0.26994487890837582</v>
      </c>
      <c r="W28" s="19">
        <f t="shared" ref="W28:W36" si="50">((3.7^2)/(10^(1/(V28^0.5))))^0.5*$G$5</f>
        <v>115.00001516279013</v>
      </c>
      <c r="X28" s="19">
        <f t="shared" ref="X28:X36" si="51">V28^0.5</f>
        <v>0.51956219926816827</v>
      </c>
      <c r="Y28" s="19">
        <f t="shared" ref="Y28:Y36" si="52">1/X28</f>
        <v>1.9246973729200365</v>
      </c>
      <c r="Z28" s="19">
        <f t="shared" ref="Z28:Z36" si="53">10^Y28</f>
        <v>84.080904103797906</v>
      </c>
      <c r="AA28" s="19">
        <f t="shared" ref="AA28:AA36" si="54">1/Z28</f>
        <v>1.189330693644183E-2</v>
      </c>
      <c r="AB28" s="19">
        <f t="shared" ref="AB28:AB36" si="55">AA28^0.5</f>
        <v>0.10905643922502618</v>
      </c>
      <c r="AC28" s="19">
        <f t="shared" ref="AC28:AC36" si="56">AB28-(2.51/(U28*X28))</f>
        <v>0.10905637661898927</v>
      </c>
      <c r="AD28" s="19">
        <f t="shared" ref="AD28:AD36" si="57">AC28*3.7*$G$5</f>
        <v>114.99994914472418</v>
      </c>
      <c r="AE28" s="19">
        <f t="shared" ref="AE28:AE36" si="58">(AF28/3600)/(PI()*($G$5/1000/2)^2)</f>
        <v>1.1585652540946554</v>
      </c>
      <c r="AF28" s="5">
        <v>266.07409999999999</v>
      </c>
      <c r="AG28" s="5">
        <v>0.7405074784630995</v>
      </c>
      <c r="AH28" s="5">
        <v>0.83694619999999997</v>
      </c>
      <c r="AI28" s="19">
        <v>3.4469071050083734E-3</v>
      </c>
      <c r="AJ28" s="52">
        <f t="shared" ref="AJ28:AJ36" si="59">AF28*$G$5/1000/$BC$2</f>
        <v>75604305.583250254</v>
      </c>
      <c r="AK28" s="38">
        <f t="shared" ref="AK28:AK36" si="60">(AH28/$BA$2)*($G$5/1000)*2*$BA$2/((AE28^2)*$AY$2)</f>
        <v>0.32310130568704021</v>
      </c>
      <c r="AL28" s="38">
        <f t="shared" ref="AL28:AL36" si="61">((3.7^2)/(10^(1/(AK28^0.5))))^0.5*$G$5</f>
        <v>139.12825502081591</v>
      </c>
      <c r="AM28" s="38">
        <f t="shared" ref="AM28:AM36" si="62">AK28^0.5</f>
        <v>0.56842000816917082</v>
      </c>
      <c r="AN28" s="38">
        <f t="shared" ref="AN28:AN36" si="63">1/AM28</f>
        <v>1.7592624918691886</v>
      </c>
      <c r="AO28" s="38">
        <f t="shared" ref="AO28:AO36" si="64">10^AN28</f>
        <v>57.446356874750109</v>
      </c>
      <c r="AP28" s="38">
        <f t="shared" ref="AP28:AP36" si="65">1/AO28</f>
        <v>1.7407544262211319E-2</v>
      </c>
      <c r="AQ28" s="38">
        <f t="shared" ref="AQ28:AQ36" si="66">AP28^0.5</f>
        <v>0.13193765293581403</v>
      </c>
      <c r="AR28" s="38">
        <f t="shared" ref="AR28:AR36" si="67">AQ28-(2.51/(AJ28*AM28))</f>
        <v>0.131937594529764</v>
      </c>
      <c r="AS28" s="38">
        <f t="shared" ref="AS28:AS36" si="68">AR28*3.7*$G$5</f>
        <v>139.12819343163616</v>
      </c>
      <c r="AT28" s="38"/>
      <c r="AU28" s="38"/>
      <c r="BA28" s="12">
        <v>0.03</v>
      </c>
      <c r="BB28" s="13">
        <f>$AY20/4</f>
        <v>2.375044046113884E-4</v>
      </c>
      <c r="BC28" s="13">
        <f>$AY20/2</f>
        <v>4.750088092227768E-4</v>
      </c>
      <c r="BD28" s="13">
        <f>$AY20*3/4</f>
        <v>7.1251321383416523E-4</v>
      </c>
      <c r="BE28" s="13">
        <f>$AY20</f>
        <v>9.5001761844555361E-4</v>
      </c>
    </row>
    <row r="29" spans="1:57" ht="15.75" x14ac:dyDescent="0.25">
      <c r="A29" s="41">
        <f t="shared" si="36"/>
        <v>1.5560623580909481</v>
      </c>
      <c r="B29" s="5">
        <v>357.36259999999999</v>
      </c>
      <c r="C29" s="5">
        <v>0.7405074784630995</v>
      </c>
      <c r="D29" s="5">
        <v>1.3811070000000001</v>
      </c>
      <c r="E29" s="19">
        <v>3.7812095082100676E-3</v>
      </c>
      <c r="F29" s="43">
        <f t="shared" si="37"/>
        <v>101543709.87038884</v>
      </c>
      <c r="G29" s="19">
        <f t="shared" si="38"/>
        <v>0.29556670010259589</v>
      </c>
      <c r="H29" s="19">
        <f t="shared" si="39"/>
        <v>126.86882397524639</v>
      </c>
      <c r="I29" s="19">
        <f t="shared" si="40"/>
        <v>0.54366046398703294</v>
      </c>
      <c r="J29" s="19">
        <f t="shared" si="41"/>
        <v>1.8393833398631161</v>
      </c>
      <c r="K29" s="19">
        <f t="shared" si="42"/>
        <v>69.08493286058912</v>
      </c>
      <c r="L29" s="19">
        <f t="shared" si="43"/>
        <v>1.4474936264582664E-2</v>
      </c>
      <c r="M29" s="19">
        <f t="shared" si="44"/>
        <v>0.12031182927951292</v>
      </c>
      <c r="N29" s="19">
        <f t="shared" si="45"/>
        <v>0.12031178381286424</v>
      </c>
      <c r="O29" s="19">
        <f t="shared" si="46"/>
        <v>126.86877603066534</v>
      </c>
      <c r="P29" s="19">
        <f t="shared" si="47"/>
        <v>1.565109277834104</v>
      </c>
      <c r="Q29" s="5">
        <v>359.44029999999998</v>
      </c>
      <c r="R29" s="5">
        <v>0.7405074784630995</v>
      </c>
      <c r="S29" s="5">
        <v>1.2701819999999999</v>
      </c>
      <c r="T29" s="19">
        <v>3.7812095082100676E-3</v>
      </c>
      <c r="U29" s="43">
        <f t="shared" si="48"/>
        <v>102134083.25024925</v>
      </c>
      <c r="V29" s="19">
        <f t="shared" si="49"/>
        <v>0.26869450981634169</v>
      </c>
      <c r="W29" s="19">
        <f t="shared" si="50"/>
        <v>114.40930651923497</v>
      </c>
      <c r="X29" s="19">
        <f t="shared" si="51"/>
        <v>0.51835751158475718</v>
      </c>
      <c r="Y29" s="19">
        <f t="shared" si="52"/>
        <v>1.9291704617971741</v>
      </c>
      <c r="Z29" s="19">
        <f t="shared" si="53"/>
        <v>84.951384616488028</v>
      </c>
      <c r="AA29" s="19">
        <f t="shared" si="54"/>
        <v>1.1771438505852348E-2</v>
      </c>
      <c r="AB29" s="19">
        <f t="shared" si="55"/>
        <v>0.10849626033118537</v>
      </c>
      <c r="AC29" s="19">
        <f t="shared" si="56"/>
        <v>0.10849621292078421</v>
      </c>
      <c r="AD29" s="19">
        <f t="shared" si="57"/>
        <v>114.40925652496695</v>
      </c>
      <c r="AE29" s="19">
        <f t="shared" si="58"/>
        <v>1.5662257191981823</v>
      </c>
      <c r="AF29" s="5">
        <v>359.69670000000002</v>
      </c>
      <c r="AG29" s="5">
        <v>0.7405074784630995</v>
      </c>
      <c r="AH29" s="5">
        <v>1.593164</v>
      </c>
      <c r="AI29" s="19">
        <v>3.7812095082100676E-3</v>
      </c>
      <c r="AJ29" s="52">
        <f t="shared" si="59"/>
        <v>102206938.68394816</v>
      </c>
      <c r="AK29" s="38">
        <f t="shared" si="60"/>
        <v>0.33653787815942166</v>
      </c>
      <c r="AL29" s="38">
        <f t="shared" si="61"/>
        <v>144.92864428318163</v>
      </c>
      <c r="AM29" s="38">
        <f t="shared" si="62"/>
        <v>0.58011884830560512</v>
      </c>
      <c r="AN29" s="38">
        <f t="shared" si="63"/>
        <v>1.7237847088071212</v>
      </c>
      <c r="AO29" s="38">
        <f t="shared" si="64"/>
        <v>52.940094086714147</v>
      </c>
      <c r="AP29" s="38">
        <f t="shared" si="65"/>
        <v>1.8889275080660656E-2</v>
      </c>
      <c r="AQ29" s="38">
        <f t="shared" si="66"/>
        <v>0.13743825915901531</v>
      </c>
      <c r="AR29" s="38">
        <f t="shared" si="67"/>
        <v>0.13743821682627669</v>
      </c>
      <c r="AS29" s="38">
        <f t="shared" si="68"/>
        <v>144.92859964330876</v>
      </c>
      <c r="AT29" s="38"/>
      <c r="AU29" s="38"/>
      <c r="BA29" s="12">
        <v>0.04</v>
      </c>
      <c r="BB29" s="13">
        <f>$AY19/4</f>
        <v>3.1667253948185122E-4</v>
      </c>
      <c r="BC29" s="13">
        <f>$AY19/2</f>
        <v>6.3334507896370244E-4</v>
      </c>
      <c r="BD29" s="13">
        <f>$AY19*3/4</f>
        <v>9.5001761844555371E-4</v>
      </c>
      <c r="BE29" s="13">
        <f>$AY19</f>
        <v>1.2666901579274049E-3</v>
      </c>
    </row>
    <row r="30" spans="1:57" x14ac:dyDescent="0.2">
      <c r="A30" s="41">
        <f t="shared" si="36"/>
        <v>1.5590258916026156</v>
      </c>
      <c r="B30" s="5">
        <v>358.04320000000001</v>
      </c>
      <c r="C30" s="5">
        <v>0.7405074784630995</v>
      </c>
      <c r="D30" s="5">
        <v>1.375685</v>
      </c>
      <c r="E30" s="19">
        <v>3.7812095082100676E-3</v>
      </c>
      <c r="F30" s="43">
        <f t="shared" si="37"/>
        <v>101737100.6979063</v>
      </c>
      <c r="G30" s="19">
        <f t="shared" si="38"/>
        <v>0.29328815044901924</v>
      </c>
      <c r="H30" s="19">
        <f t="shared" si="39"/>
        <v>125.83147665289574</v>
      </c>
      <c r="I30" s="19">
        <f t="shared" si="40"/>
        <v>0.54156084648820324</v>
      </c>
      <c r="J30" s="19">
        <f t="shared" si="41"/>
        <v>1.8465145818509294</v>
      </c>
      <c r="K30" s="19">
        <f t="shared" si="42"/>
        <v>70.228692329234178</v>
      </c>
      <c r="L30" s="19">
        <f t="shared" si="43"/>
        <v>1.4239194363921381E-2</v>
      </c>
      <c r="M30" s="19">
        <f t="shared" si="44"/>
        <v>0.11932809545082575</v>
      </c>
      <c r="N30" s="19">
        <f t="shared" si="45"/>
        <v>0.11932804989466611</v>
      </c>
      <c r="O30" s="19">
        <f t="shared" si="46"/>
        <v>125.83142861392542</v>
      </c>
      <c r="P30" s="19">
        <f t="shared" si="47"/>
        <v>1.5634015231422496</v>
      </c>
      <c r="Q30" s="5">
        <v>359.04809999999998</v>
      </c>
      <c r="R30" s="5">
        <v>0.7405074784630995</v>
      </c>
      <c r="S30" s="5">
        <v>1.2855190000000001</v>
      </c>
      <c r="T30" s="19">
        <v>3.7812095082100676E-3</v>
      </c>
      <c r="U30" s="43">
        <f t="shared" si="48"/>
        <v>102022640.57826521</v>
      </c>
      <c r="V30" s="19">
        <f t="shared" si="49"/>
        <v>0.27253332133960267</v>
      </c>
      <c r="W30" s="19">
        <f t="shared" si="50"/>
        <v>116.21946049332676</v>
      </c>
      <c r="X30" s="19">
        <f t="shared" si="51"/>
        <v>0.52204724052484242</v>
      </c>
      <c r="Y30" s="19">
        <f t="shared" si="52"/>
        <v>1.9155354580452255</v>
      </c>
      <c r="Z30" s="19">
        <f t="shared" si="53"/>
        <v>82.325704913631938</v>
      </c>
      <c r="AA30" s="19">
        <f t="shared" si="54"/>
        <v>1.2146874430642312E-2</v>
      </c>
      <c r="AB30" s="19">
        <f t="shared" si="55"/>
        <v>0.11021285964279447</v>
      </c>
      <c r="AC30" s="19">
        <f t="shared" si="56"/>
        <v>0.11021281251605894</v>
      </c>
      <c r="AD30" s="19">
        <f t="shared" si="57"/>
        <v>116.21941079818417</v>
      </c>
      <c r="AE30" s="19">
        <f t="shared" si="58"/>
        <v>1.5616828827116658</v>
      </c>
      <c r="AF30" s="5">
        <v>358.65339999999998</v>
      </c>
      <c r="AG30" s="5">
        <v>0.7405074784630995</v>
      </c>
      <c r="AH30" s="5">
        <v>1.6058380000000001</v>
      </c>
      <c r="AI30" s="19">
        <v>3.9273436143060277E-3</v>
      </c>
      <c r="AJ30" s="52">
        <f t="shared" si="59"/>
        <v>101910487.53738783</v>
      </c>
      <c r="AK30" s="38">
        <f t="shared" si="60"/>
        <v>0.34119149827608375</v>
      </c>
      <c r="AL30" s="38">
        <f t="shared" si="61"/>
        <v>146.91029228944268</v>
      </c>
      <c r="AM30" s="38">
        <f t="shared" si="62"/>
        <v>0.58411599727800967</v>
      </c>
      <c r="AN30" s="38">
        <f t="shared" si="63"/>
        <v>1.7119887225482897</v>
      </c>
      <c r="AO30" s="38">
        <f t="shared" si="64"/>
        <v>51.521526566270353</v>
      </c>
      <c r="AP30" s="38">
        <f t="shared" si="65"/>
        <v>1.9409362777978535E-2</v>
      </c>
      <c r="AQ30" s="38">
        <f t="shared" si="66"/>
        <v>0.13931748913176167</v>
      </c>
      <c r="AR30" s="38">
        <f t="shared" si="67"/>
        <v>0.13931744696640855</v>
      </c>
      <c r="AS30" s="38">
        <f t="shared" si="68"/>
        <v>146.91024782607781</v>
      </c>
      <c r="AT30" s="38"/>
      <c r="AU30" s="38"/>
    </row>
    <row r="31" spans="1:57" x14ac:dyDescent="0.2">
      <c r="A31" s="41">
        <f t="shared" si="36"/>
        <v>2.3627278197195514</v>
      </c>
      <c r="B31" s="5">
        <v>542.62</v>
      </c>
      <c r="C31" s="5">
        <v>0.7405074784630995</v>
      </c>
      <c r="D31" s="5">
        <v>3.0210499999999998</v>
      </c>
      <c r="E31" s="19">
        <v>4.217650803948092E-3</v>
      </c>
      <c r="F31" s="43">
        <f t="shared" si="37"/>
        <v>154184147.55732805</v>
      </c>
      <c r="G31" s="19">
        <f t="shared" si="38"/>
        <v>0.28042239482005954</v>
      </c>
      <c r="H31" s="19">
        <f t="shared" si="39"/>
        <v>119.90776840857785</v>
      </c>
      <c r="I31" s="19">
        <f t="shared" si="40"/>
        <v>0.52954923738974413</v>
      </c>
      <c r="J31" s="19">
        <f t="shared" si="41"/>
        <v>1.8883985272629291</v>
      </c>
      <c r="K31" s="19">
        <f t="shared" si="42"/>
        <v>77.338995539999701</v>
      </c>
      <c r="L31" s="19">
        <f t="shared" si="43"/>
        <v>1.2930087765140425E-2</v>
      </c>
      <c r="M31" s="19">
        <f t="shared" si="44"/>
        <v>0.11371054377295196</v>
      </c>
      <c r="N31" s="19">
        <f t="shared" si="45"/>
        <v>0.11371051303126821</v>
      </c>
      <c r="O31" s="19">
        <f t="shared" si="46"/>
        <v>119.90773599147232</v>
      </c>
      <c r="P31" s="19">
        <f t="shared" si="47"/>
        <v>2.3598130543173914</v>
      </c>
      <c r="Q31" s="5">
        <v>541.95060000000001</v>
      </c>
      <c r="R31" s="5">
        <v>0.7405074784630995</v>
      </c>
      <c r="S31" s="5">
        <v>2.8509259999999998</v>
      </c>
      <c r="T31" s="19">
        <v>4.217650803948092E-3</v>
      </c>
      <c r="U31" s="43">
        <f t="shared" si="48"/>
        <v>153993939.18245265</v>
      </c>
      <c r="V31" s="19">
        <f t="shared" si="49"/>
        <v>0.2652851357672702</v>
      </c>
      <c r="W31" s="19">
        <f t="shared" si="50"/>
        <v>112.79318090076904</v>
      </c>
      <c r="X31" s="19">
        <f t="shared" si="51"/>
        <v>0.51505838093100687</v>
      </c>
      <c r="Y31" s="19">
        <f t="shared" si="52"/>
        <v>1.9415274792586126</v>
      </c>
      <c r="Z31" s="19">
        <f t="shared" si="53"/>
        <v>87.403229377587152</v>
      </c>
      <c r="AA31" s="19">
        <f t="shared" si="54"/>
        <v>1.1441224850856946E-2</v>
      </c>
      <c r="AB31" s="19">
        <f t="shared" si="55"/>
        <v>0.10696366135682223</v>
      </c>
      <c r="AC31" s="19">
        <f t="shared" si="56"/>
        <v>0.10696362971120034</v>
      </c>
      <c r="AD31" s="19">
        <f t="shared" si="57"/>
        <v>112.79314753046076</v>
      </c>
      <c r="AE31" s="19">
        <f t="shared" si="58"/>
        <v>2.3839441245029787</v>
      </c>
      <c r="AF31" s="5">
        <v>547.49249999999995</v>
      </c>
      <c r="AG31" s="5">
        <v>0.7405074784630995</v>
      </c>
      <c r="AH31" s="5">
        <v>3.6354419999999998</v>
      </c>
      <c r="AI31" s="5">
        <v>5.0797843784664651E-3</v>
      </c>
      <c r="AJ31" s="52">
        <f t="shared" si="59"/>
        <v>155568656.53040877</v>
      </c>
      <c r="AK31" s="38">
        <f t="shared" si="60"/>
        <v>0.3314723037188228</v>
      </c>
      <c r="AL31" s="38">
        <f t="shared" si="61"/>
        <v>142.75570118613965</v>
      </c>
      <c r="AM31" s="38">
        <f t="shared" si="62"/>
        <v>0.57573631439993678</v>
      </c>
      <c r="AN31" s="38">
        <f t="shared" si="63"/>
        <v>1.736906245078971</v>
      </c>
      <c r="AO31" s="38">
        <f t="shared" si="64"/>
        <v>54.564005631890524</v>
      </c>
      <c r="AP31" s="38">
        <f t="shared" si="65"/>
        <v>1.8327100226958763E-2</v>
      </c>
      <c r="AQ31" s="38">
        <f t="shared" si="66"/>
        <v>0.13537762084982422</v>
      </c>
      <c r="AR31" s="38">
        <f t="shared" si="67"/>
        <v>0.13537759282596148</v>
      </c>
      <c r="AS31" s="38">
        <f t="shared" si="68"/>
        <v>142.75567163497638</v>
      </c>
      <c r="AT31" s="16"/>
      <c r="AU31" s="16"/>
    </row>
    <row r="32" spans="1:57" x14ac:dyDescent="0.2">
      <c r="A32" s="41">
        <f t="shared" si="36"/>
        <v>2.3679416531413424</v>
      </c>
      <c r="B32" s="5">
        <v>543.81740000000002</v>
      </c>
      <c r="C32" s="5">
        <v>0.7405074784630995</v>
      </c>
      <c r="D32" s="5">
        <v>3.2258830000000001</v>
      </c>
      <c r="E32" s="19">
        <v>4.2954406247413804E-3</v>
      </c>
      <c r="F32" s="43">
        <f t="shared" si="37"/>
        <v>154524385.84247258</v>
      </c>
      <c r="G32" s="19">
        <f t="shared" si="38"/>
        <v>0.29811840453674687</v>
      </c>
      <c r="H32" s="19">
        <f t="shared" si="39"/>
        <v>128.0263492292581</v>
      </c>
      <c r="I32" s="19">
        <f t="shared" si="40"/>
        <v>0.54600220195228777</v>
      </c>
      <c r="J32" s="19">
        <f t="shared" si="41"/>
        <v>1.8314944453051578</v>
      </c>
      <c r="K32" s="19">
        <f t="shared" si="42"/>
        <v>67.841344342795139</v>
      </c>
      <c r="L32" s="19">
        <f t="shared" si="43"/>
        <v>1.474027393895831E-2</v>
      </c>
      <c r="M32" s="19">
        <f t="shared" si="44"/>
        <v>0.12140952985230735</v>
      </c>
      <c r="N32" s="19">
        <f t="shared" si="45"/>
        <v>0.12140950010262717</v>
      </c>
      <c r="O32" s="19">
        <f t="shared" si="46"/>
        <v>128.02631785822035</v>
      </c>
      <c r="P32" s="19">
        <f t="shared" si="47"/>
        <v>2.3644477664387824</v>
      </c>
      <c r="Q32" s="5">
        <v>543.01499999999999</v>
      </c>
      <c r="R32" s="5">
        <v>0.7405074784630995</v>
      </c>
      <c r="S32" s="5">
        <v>2.8773870000000001</v>
      </c>
      <c r="T32" s="19">
        <v>4.217650803948092E-3</v>
      </c>
      <c r="U32" s="43">
        <f t="shared" si="48"/>
        <v>154296385.84247258</v>
      </c>
      <c r="V32" s="19">
        <f t="shared" si="49"/>
        <v>0.26669876151453481</v>
      </c>
      <c r="W32" s="19">
        <f t="shared" si="50"/>
        <v>113.46424018234434</v>
      </c>
      <c r="X32" s="19">
        <f t="shared" si="51"/>
        <v>0.51642885426216723</v>
      </c>
      <c r="Y32" s="19">
        <f t="shared" si="52"/>
        <v>1.9363751497362034</v>
      </c>
      <c r="Z32" s="19">
        <f t="shared" si="53"/>
        <v>86.372432294160518</v>
      </c>
      <c r="AA32" s="19">
        <f t="shared" si="54"/>
        <v>1.1577768200324355E-2</v>
      </c>
      <c r="AB32" s="19">
        <f t="shared" si="55"/>
        <v>0.1076000381055897</v>
      </c>
      <c r="AC32" s="19">
        <f t="shared" si="56"/>
        <v>0.10760000660581348</v>
      </c>
      <c r="AD32" s="19">
        <f t="shared" si="57"/>
        <v>113.46420696583033</v>
      </c>
      <c r="AE32" s="19">
        <f t="shared" si="58"/>
        <v>2.3806413913725062</v>
      </c>
      <c r="AF32" s="5">
        <v>546.73400000000004</v>
      </c>
      <c r="AG32" s="5">
        <v>0.7405074784630995</v>
      </c>
      <c r="AH32" s="5">
        <v>3.642636</v>
      </c>
      <c r="AI32" s="5">
        <v>5.0797843784664651E-3</v>
      </c>
      <c r="AJ32" s="52">
        <f t="shared" si="59"/>
        <v>155353130.60817546</v>
      </c>
      <c r="AK32" s="38">
        <f t="shared" si="60"/>
        <v>0.33305041979270256</v>
      </c>
      <c r="AL32" s="38">
        <f t="shared" si="61"/>
        <v>143.43443621577484</v>
      </c>
      <c r="AM32" s="38">
        <f t="shared" si="62"/>
        <v>0.57710520686673983</v>
      </c>
      <c r="AN32" s="38">
        <f t="shared" si="63"/>
        <v>1.732786306727798</v>
      </c>
      <c r="AO32" s="38">
        <f t="shared" si="64"/>
        <v>54.048831188436878</v>
      </c>
      <c r="AP32" s="38">
        <f t="shared" si="65"/>
        <v>1.8501787698490296E-2</v>
      </c>
      <c r="AQ32" s="38">
        <f t="shared" si="66"/>
        <v>0.13602127663895194</v>
      </c>
      <c r="AR32" s="38">
        <f t="shared" si="67"/>
        <v>0.13602124864277568</v>
      </c>
      <c r="AS32" s="38">
        <f t="shared" si="68"/>
        <v>143.43440669380698</v>
      </c>
      <c r="AT32" s="16"/>
      <c r="AU32" s="16"/>
    </row>
    <row r="33" spans="1:55" x14ac:dyDescent="0.2">
      <c r="A33" s="41">
        <f t="shared" si="36"/>
        <v>2.9412695633889623</v>
      </c>
      <c r="B33" s="5">
        <v>675.48689999999999</v>
      </c>
      <c r="C33" s="5">
        <v>1.0900667160521404</v>
      </c>
      <c r="D33" s="5">
        <v>4.3664800000000001</v>
      </c>
      <c r="E33" s="5">
        <v>5.1275233933743706E-3</v>
      </c>
      <c r="F33" s="43">
        <f t="shared" si="37"/>
        <v>191937952.64207378</v>
      </c>
      <c r="G33" s="19">
        <f t="shared" si="38"/>
        <v>0.26154353427484567</v>
      </c>
      <c r="H33" s="19">
        <f t="shared" si="39"/>
        <v>111.01040941943604</v>
      </c>
      <c r="I33" s="19">
        <f t="shared" si="40"/>
        <v>0.51141327150832294</v>
      </c>
      <c r="J33" s="19">
        <f t="shared" si="41"/>
        <v>1.9553657593802307</v>
      </c>
      <c r="K33" s="19">
        <f t="shared" si="42"/>
        <v>90.23307535188799</v>
      </c>
      <c r="L33" s="19">
        <f t="shared" si="43"/>
        <v>1.1082410702508285E-2</v>
      </c>
      <c r="M33" s="19">
        <f t="shared" si="44"/>
        <v>0.10527302932141872</v>
      </c>
      <c r="N33" s="19">
        <f t="shared" si="45"/>
        <v>0.10527300375082162</v>
      </c>
      <c r="O33" s="19">
        <f t="shared" si="46"/>
        <v>111.01038245524141</v>
      </c>
      <c r="P33" s="5">
        <f t="shared" si="47"/>
        <v>2.9318812668792549</v>
      </c>
      <c r="Q33" s="5">
        <v>673.33079999999995</v>
      </c>
      <c r="R33" s="5">
        <v>1.0900667160521404</v>
      </c>
      <c r="S33" s="5">
        <v>4.5908059999999997</v>
      </c>
      <c r="T33" s="5">
        <v>5.1275233933743706E-3</v>
      </c>
      <c r="U33" s="43">
        <f t="shared" si="48"/>
        <v>191325302.09371883</v>
      </c>
      <c r="V33" s="19">
        <f t="shared" si="49"/>
        <v>0.27674408924398852</v>
      </c>
      <c r="W33" s="19">
        <f t="shared" si="50"/>
        <v>118.19338933380016</v>
      </c>
      <c r="X33" s="19">
        <f t="shared" si="51"/>
        <v>0.52606471963437018</v>
      </c>
      <c r="Y33" s="19">
        <f t="shared" si="52"/>
        <v>1.9009067946906384</v>
      </c>
      <c r="Z33" s="19">
        <f t="shared" si="53"/>
        <v>79.598850248027077</v>
      </c>
      <c r="AA33" s="19">
        <f t="shared" si="54"/>
        <v>1.2562995531770082E-2</v>
      </c>
      <c r="AB33" s="19">
        <f t="shared" si="55"/>
        <v>0.1120847694014226</v>
      </c>
      <c r="AC33" s="19">
        <f t="shared" si="56"/>
        <v>0.11208474446339296</v>
      </c>
      <c r="AD33" s="19">
        <f t="shared" si="57"/>
        <v>118.1933630366479</v>
      </c>
      <c r="AE33" s="5">
        <f t="shared" si="58"/>
        <v>3.0336124141706113</v>
      </c>
      <c r="AF33" s="5">
        <v>696.69420000000002</v>
      </c>
      <c r="AG33" s="5">
        <v>1.0900667160521404</v>
      </c>
      <c r="AH33" s="5">
        <v>5.9990319383287565</v>
      </c>
      <c r="AI33" s="5">
        <v>2.9386084990195366E-2</v>
      </c>
      <c r="AJ33" s="52">
        <f t="shared" si="59"/>
        <v>197963955.13459623</v>
      </c>
      <c r="AK33" s="38">
        <f t="shared" si="60"/>
        <v>0.3377871769031332</v>
      </c>
      <c r="AL33" s="38">
        <f t="shared" si="61"/>
        <v>145.46199896994924</v>
      </c>
      <c r="AM33" s="38">
        <f t="shared" si="62"/>
        <v>0.58119461190132626</v>
      </c>
      <c r="AN33" s="38">
        <f t="shared" si="63"/>
        <v>1.720594065262562</v>
      </c>
      <c r="AO33" s="38">
        <f t="shared" si="64"/>
        <v>52.552582814235933</v>
      </c>
      <c r="AP33" s="38">
        <f t="shared" si="65"/>
        <v>1.9028560471229791E-2</v>
      </c>
      <c r="AQ33" s="38">
        <f t="shared" si="66"/>
        <v>0.13794404833565596</v>
      </c>
      <c r="AR33" s="38">
        <f t="shared" si="67"/>
        <v>0.13794402652011331</v>
      </c>
      <c r="AS33" s="38">
        <f t="shared" si="68"/>
        <v>145.46197596545949</v>
      </c>
      <c r="AT33" s="16"/>
      <c r="AU33" s="16"/>
    </row>
    <row r="34" spans="1:55" x14ac:dyDescent="0.2">
      <c r="A34" s="41">
        <f t="shared" si="36"/>
        <v>2.9335180465545942</v>
      </c>
      <c r="B34" s="5">
        <v>673.70669999999996</v>
      </c>
      <c r="C34" s="5">
        <v>1.0900667160521404</v>
      </c>
      <c r="D34" s="5">
        <v>4.3496040000000002</v>
      </c>
      <c r="E34" s="5">
        <v>5.1275233933743706E-3</v>
      </c>
      <c r="F34" s="43">
        <f t="shared" si="37"/>
        <v>191432113.16051844</v>
      </c>
      <c r="G34" s="19">
        <f t="shared" si="38"/>
        <v>0.26191137547672538</v>
      </c>
      <c r="H34" s="19">
        <f t="shared" si="39"/>
        <v>111.18610038438207</v>
      </c>
      <c r="I34" s="19">
        <f t="shared" si="40"/>
        <v>0.51177277719386893</v>
      </c>
      <c r="J34" s="19">
        <f t="shared" si="41"/>
        <v>1.9539921710630217</v>
      </c>
      <c r="K34" s="19">
        <f t="shared" si="42"/>
        <v>89.948136661895958</v>
      </c>
      <c r="L34" s="19">
        <f t="shared" si="43"/>
        <v>1.111751768420593E-2</v>
      </c>
      <c r="M34" s="19">
        <f t="shared" si="44"/>
        <v>0.10543964000415561</v>
      </c>
      <c r="N34" s="19">
        <f t="shared" si="45"/>
        <v>0.10543961438400093</v>
      </c>
      <c r="O34" s="19">
        <f t="shared" si="46"/>
        <v>111.18607336792898</v>
      </c>
      <c r="P34" s="5">
        <f t="shared" si="47"/>
        <v>2.94643767670809</v>
      </c>
      <c r="Q34" s="5">
        <v>676.67380000000003</v>
      </c>
      <c r="R34" s="5">
        <v>1.0900667160521404</v>
      </c>
      <c r="S34" s="5">
        <v>4.6187040000000001</v>
      </c>
      <c r="T34" s="5">
        <v>5.1275233933743706E-3</v>
      </c>
      <c r="U34" s="43">
        <f t="shared" si="48"/>
        <v>192275207.37786642</v>
      </c>
      <c r="V34" s="19">
        <f t="shared" si="49"/>
        <v>0.27568160105212808</v>
      </c>
      <c r="W34" s="19">
        <f t="shared" si="50"/>
        <v>117.69646115612862</v>
      </c>
      <c r="X34" s="19">
        <f t="shared" si="51"/>
        <v>0.52505390299675714</v>
      </c>
      <c r="Y34" s="19">
        <f t="shared" si="52"/>
        <v>1.9045663584109691</v>
      </c>
      <c r="Z34" s="19">
        <f t="shared" si="53"/>
        <v>80.27242044602238</v>
      </c>
      <c r="AA34" s="19">
        <f t="shared" si="54"/>
        <v>1.2457578760471419E-2</v>
      </c>
      <c r="AB34" s="19">
        <f t="shared" si="55"/>
        <v>0.11161352409305701</v>
      </c>
      <c r="AC34" s="19">
        <f t="shared" si="56"/>
        <v>0.11161349923045707</v>
      </c>
      <c r="AD34" s="19">
        <f t="shared" si="57"/>
        <v>117.69643493851699</v>
      </c>
      <c r="AE34" s="5">
        <f t="shared" si="58"/>
        <v>3.0394236569338671</v>
      </c>
      <c r="AF34" s="5">
        <v>698.02880000000005</v>
      </c>
      <c r="AG34" s="5">
        <v>1.0900667160521404</v>
      </c>
      <c r="AH34" s="5">
        <v>6.0610819468919832</v>
      </c>
      <c r="AI34" s="5">
        <v>2.9386084990195366E-2</v>
      </c>
      <c r="AJ34" s="52">
        <f t="shared" si="59"/>
        <v>198343178.4646062</v>
      </c>
      <c r="AK34" s="38">
        <f t="shared" si="60"/>
        <v>0.33997724280428837</v>
      </c>
      <c r="AL34" s="38">
        <f t="shared" si="61"/>
        <v>146.39456706593845</v>
      </c>
      <c r="AM34" s="38">
        <f t="shared" si="62"/>
        <v>0.58307567502365276</v>
      </c>
      <c r="AN34" s="38">
        <f t="shared" si="63"/>
        <v>1.7150432488191769</v>
      </c>
      <c r="AO34" s="38">
        <f t="shared" si="64"/>
        <v>51.885170572937689</v>
      </c>
      <c r="AP34" s="38">
        <f t="shared" si="65"/>
        <v>1.9273329719408899E-2</v>
      </c>
      <c r="AQ34" s="38">
        <f t="shared" si="66"/>
        <v>0.13882841827021189</v>
      </c>
      <c r="AR34" s="38">
        <f t="shared" si="67"/>
        <v>0.13882839656662427</v>
      </c>
      <c r="AS34" s="38">
        <f t="shared" si="68"/>
        <v>146.39454417950532</v>
      </c>
      <c r="AT34" s="16"/>
      <c r="AU34" s="16"/>
    </row>
    <row r="35" spans="1:55" ht="15.75" x14ac:dyDescent="0.25">
      <c r="A35" s="41">
        <f t="shared" si="36"/>
        <v>3.9623335681572938</v>
      </c>
      <c r="B35" s="5">
        <v>909.98270000000002</v>
      </c>
      <c r="C35" s="5">
        <v>2.1990266215745549</v>
      </c>
      <c r="D35" s="5">
        <v>7.3445331777320071</v>
      </c>
      <c r="E35" s="5">
        <v>2.9508963927416462E-2</v>
      </c>
      <c r="F35" s="43">
        <f t="shared" si="37"/>
        <v>258569361.41575277</v>
      </c>
      <c r="G35" s="19">
        <f t="shared" si="38"/>
        <v>0.24240652180564154</v>
      </c>
      <c r="H35" s="19">
        <f t="shared" si="39"/>
        <v>101.74302972614309</v>
      </c>
      <c r="I35" s="19">
        <f t="shared" si="40"/>
        <v>0.49234796821520604</v>
      </c>
      <c r="J35" s="19">
        <f t="shared" si="41"/>
        <v>2.0310838361435026</v>
      </c>
      <c r="K35" s="19">
        <f t="shared" si="42"/>
        <v>107.41967551129707</v>
      </c>
      <c r="L35" s="19">
        <f t="shared" si="43"/>
        <v>9.309281518866926E-3</v>
      </c>
      <c r="M35" s="19">
        <f t="shared" si="44"/>
        <v>9.6484618042809944E-2</v>
      </c>
      <c r="N35" s="19">
        <f t="shared" si="45"/>
        <v>9.6484598326551221E-2</v>
      </c>
      <c r="O35" s="19">
        <f t="shared" si="46"/>
        <v>101.74300893534827</v>
      </c>
      <c r="P35" s="5">
        <f t="shared" si="47"/>
        <v>3.9342688274244821</v>
      </c>
      <c r="Q35" s="5">
        <v>903.53740000000005</v>
      </c>
      <c r="R35" s="5">
        <v>2.1990266215745549</v>
      </c>
      <c r="S35" s="5">
        <v>8.2085694995643497</v>
      </c>
      <c r="T35" s="5">
        <v>2.9508963927416462E-2</v>
      </c>
      <c r="U35" s="43">
        <f t="shared" si="48"/>
        <v>256737945.16450652</v>
      </c>
      <c r="V35" s="19">
        <f t="shared" si="49"/>
        <v>0.27480307397446579</v>
      </c>
      <c r="W35" s="19">
        <f t="shared" si="50"/>
        <v>117.28498770235554</v>
      </c>
      <c r="X35" s="19">
        <f t="shared" si="51"/>
        <v>0.5242166288610709</v>
      </c>
      <c r="Y35" s="19">
        <f t="shared" si="52"/>
        <v>1.9076083148537859</v>
      </c>
      <c r="Z35" s="19">
        <f t="shared" si="53"/>
        <v>80.836651395103331</v>
      </c>
      <c r="AA35" s="19">
        <f t="shared" si="54"/>
        <v>1.2370626228841721E-2</v>
      </c>
      <c r="AB35" s="19">
        <f t="shared" si="55"/>
        <v>0.11122331692968755</v>
      </c>
      <c r="AC35" s="19">
        <f t="shared" si="56"/>
        <v>0.11122329827994387</v>
      </c>
      <c r="AD35" s="19">
        <f t="shared" si="57"/>
        <v>117.28496803620082</v>
      </c>
      <c r="AE35" s="5">
        <f t="shared" si="58"/>
        <v>3.8640910824139065</v>
      </c>
      <c r="AF35" s="5">
        <v>887.42049999999995</v>
      </c>
      <c r="AG35" s="5">
        <v>2.1990266215745549</v>
      </c>
      <c r="AH35" s="5">
        <v>9.697840686788501</v>
      </c>
      <c r="AI35" s="5">
        <v>2.9508963927416462E-2</v>
      </c>
      <c r="AJ35" s="52">
        <f t="shared" si="59"/>
        <v>252158367.39780658</v>
      </c>
      <c r="AK35" s="38">
        <f t="shared" si="60"/>
        <v>0.33656000559000104</v>
      </c>
      <c r="AL35" s="38">
        <f t="shared" si="61"/>
        <v>144.93809974481653</v>
      </c>
      <c r="AM35" s="38">
        <f t="shared" si="62"/>
        <v>0.5801379194553663</v>
      </c>
      <c r="AN35" s="38">
        <f t="shared" si="63"/>
        <v>1.7237280420124932</v>
      </c>
      <c r="AO35" s="38">
        <f t="shared" si="64"/>
        <v>52.933186907700623</v>
      </c>
      <c r="AP35" s="38">
        <f t="shared" si="65"/>
        <v>1.8891739916277774E-2</v>
      </c>
      <c r="AQ35" s="38">
        <f t="shared" si="66"/>
        <v>0.13744722593154718</v>
      </c>
      <c r="AR35" s="38">
        <f t="shared" si="67"/>
        <v>0.13744720877345154</v>
      </c>
      <c r="AS35" s="38">
        <f t="shared" si="68"/>
        <v>144.93808165160468</v>
      </c>
      <c r="AT35" s="16"/>
      <c r="AU35" s="16"/>
      <c r="AX35" s="12" t="s">
        <v>129</v>
      </c>
      <c r="AY35" s="75">
        <v>0.25</v>
      </c>
      <c r="AZ35" s="76"/>
      <c r="BB35" s="97" t="s">
        <v>132</v>
      </c>
      <c r="BC35" s="98"/>
    </row>
    <row r="36" spans="1:55" ht="15.75" x14ac:dyDescent="0.25">
      <c r="A36" s="41">
        <f t="shared" si="36"/>
        <v>3.9701595434445704</v>
      </c>
      <c r="B36" s="5">
        <v>911.78</v>
      </c>
      <c r="C36" s="5">
        <v>2.1990266215745549</v>
      </c>
      <c r="D36" s="5">
        <v>7.3211432057611168</v>
      </c>
      <c r="E36" s="5">
        <v>2.9508963927416462E-2</v>
      </c>
      <c r="F36" s="43">
        <f t="shared" si="37"/>
        <v>259080059.8205384</v>
      </c>
      <c r="G36" s="19">
        <f t="shared" si="38"/>
        <v>0.24068285443049142</v>
      </c>
      <c r="H36" s="19">
        <f t="shared" si="39"/>
        <v>100.89617808667835</v>
      </c>
      <c r="I36" s="19">
        <f t="shared" si="40"/>
        <v>0.49059438891052498</v>
      </c>
      <c r="J36" s="19">
        <f t="shared" si="41"/>
        <v>2.0383437369121253</v>
      </c>
      <c r="K36" s="19">
        <f t="shared" si="42"/>
        <v>109.23045354096168</v>
      </c>
      <c r="L36" s="19">
        <f t="shared" si="43"/>
        <v>9.1549560363676195E-3</v>
      </c>
      <c r="M36" s="19">
        <f t="shared" si="44"/>
        <v>9.5681534458680273E-2</v>
      </c>
      <c r="N36" s="19">
        <f t="shared" si="45"/>
        <v>9.568151471095139E-2</v>
      </c>
      <c r="O36" s="19">
        <f t="shared" si="46"/>
        <v>100.89615726269825</v>
      </c>
      <c r="P36" s="5">
        <f t="shared" si="47"/>
        <v>3.9355045764850334</v>
      </c>
      <c r="Q36" s="5">
        <v>903.82119999999998</v>
      </c>
      <c r="R36" s="5">
        <v>2.1990266215745549</v>
      </c>
      <c r="S36" s="5">
        <v>8.2387627182125307</v>
      </c>
      <c r="T36" s="5">
        <v>2.9508963927416462E-2</v>
      </c>
      <c r="U36" s="43">
        <f t="shared" si="48"/>
        <v>256818586.24127617</v>
      </c>
      <c r="V36" s="19">
        <f t="shared" si="49"/>
        <v>0.27564068598085617</v>
      </c>
      <c r="W36" s="19">
        <f t="shared" si="50"/>
        <v>117.67730961404513</v>
      </c>
      <c r="X36" s="19">
        <f t="shared" si="51"/>
        <v>0.52501493881684569</v>
      </c>
      <c r="Y36" s="19">
        <f t="shared" si="52"/>
        <v>1.9047077065151006</v>
      </c>
      <c r="Z36" s="19">
        <f t="shared" si="53"/>
        <v>80.298550644640585</v>
      </c>
      <c r="AA36" s="19">
        <f t="shared" si="54"/>
        <v>1.2453524901407963E-2</v>
      </c>
      <c r="AB36" s="19">
        <f t="shared" si="55"/>
        <v>0.11159536236514474</v>
      </c>
      <c r="AC36" s="19">
        <f t="shared" si="56"/>
        <v>0.11159534374960599</v>
      </c>
      <c r="AD36" s="19">
        <f t="shared" si="57"/>
        <v>117.67728998395953</v>
      </c>
      <c r="AE36" s="5">
        <f t="shared" si="58"/>
        <v>3.863697018671906</v>
      </c>
      <c r="AF36" s="5">
        <v>887.33</v>
      </c>
      <c r="AG36" s="5">
        <v>2.1990266215745549</v>
      </c>
      <c r="AH36" s="5">
        <v>9.6796523742536067</v>
      </c>
      <c r="AI36" s="5">
        <v>2.9508963927416462E-2</v>
      </c>
      <c r="AJ36" s="52">
        <f t="shared" si="59"/>
        <v>252132652.04386842</v>
      </c>
      <c r="AK36" s="38">
        <f t="shared" si="60"/>
        <v>0.33599731403874822</v>
      </c>
      <c r="AL36" s="38">
        <f t="shared" si="61"/>
        <v>144.69755313259074</v>
      </c>
      <c r="AM36" s="38">
        <f t="shared" si="62"/>
        <v>0.57965275298125529</v>
      </c>
      <c r="AN36" s="38">
        <f t="shared" si="63"/>
        <v>1.7251707938189293</v>
      </c>
      <c r="AO36" s="38">
        <f t="shared" si="64"/>
        <v>53.109326478220488</v>
      </c>
      <c r="AP36" s="38">
        <f t="shared" si="65"/>
        <v>1.882908457538222E-2</v>
      </c>
      <c r="AQ36" s="38">
        <f t="shared" si="66"/>
        <v>0.13721911155295469</v>
      </c>
      <c r="AR36" s="38">
        <f t="shared" si="67"/>
        <v>0.13721909437874635</v>
      </c>
      <c r="AS36" s="38">
        <f t="shared" si="68"/>
        <v>144.69753502238805</v>
      </c>
      <c r="AT36" s="16"/>
      <c r="AU36" s="16"/>
      <c r="AX36" s="77" t="s">
        <v>126</v>
      </c>
      <c r="AY36" s="78" t="s">
        <v>127</v>
      </c>
      <c r="AZ36" s="78" t="s">
        <v>128</v>
      </c>
      <c r="BB36" s="39" t="s">
        <v>130</v>
      </c>
      <c r="BC36" s="39" t="s">
        <v>131</v>
      </c>
    </row>
    <row r="37" spans="1:55" s="39" customFormat="1" ht="15.75" x14ac:dyDescent="0.25">
      <c r="A37" s="70">
        <f>AVERAGE(A27:A36)</f>
        <v>2.4033637598806115</v>
      </c>
      <c r="B37" s="66">
        <f>AVERAGE(B27:B36)</f>
        <v>551.95237999999995</v>
      </c>
      <c r="C37" s="66"/>
      <c r="D37" s="66"/>
      <c r="E37" s="66"/>
      <c r="F37" s="84"/>
      <c r="G37" s="69"/>
      <c r="H37" s="69">
        <f>AVERAGE(H27:H36)</f>
        <v>120.80821060101991</v>
      </c>
      <c r="I37" s="69"/>
      <c r="J37" s="69"/>
      <c r="K37" s="69"/>
      <c r="L37" s="69"/>
      <c r="M37" s="69"/>
      <c r="N37" s="69"/>
      <c r="O37" s="69">
        <f>AVERAGE(O27:O36)</f>
        <v>120.80817316653236</v>
      </c>
      <c r="P37" s="66"/>
      <c r="Q37" s="66"/>
      <c r="R37" s="66"/>
      <c r="S37" s="66"/>
      <c r="T37" s="66"/>
      <c r="U37" s="84"/>
      <c r="V37" s="69"/>
      <c r="W37" s="69">
        <f>AVERAGE(W27:W36)</f>
        <v>116.19059363305257</v>
      </c>
      <c r="X37" s="69"/>
      <c r="Y37" s="69"/>
      <c r="Z37" s="69"/>
      <c r="AA37" s="69"/>
      <c r="AB37" s="69"/>
      <c r="AC37" s="69"/>
      <c r="AD37" s="69">
        <f>AVERAGE(AD27:AD36)</f>
        <v>116.19055472447738</v>
      </c>
      <c r="AE37" s="66"/>
      <c r="AF37" s="66"/>
      <c r="AG37" s="66"/>
      <c r="AH37" s="66"/>
      <c r="AI37" s="66"/>
      <c r="AJ37" s="85"/>
      <c r="AK37" s="86"/>
      <c r="AL37" s="86">
        <f>AVERAGE(AL27:AL36)</f>
        <v>143.65037076203379</v>
      </c>
      <c r="AM37" s="86"/>
      <c r="AN37" s="86"/>
      <c r="AO37" s="86"/>
      <c r="AP37" s="86"/>
      <c r="AQ37" s="86"/>
      <c r="AR37" s="86"/>
      <c r="AS37" s="86">
        <f>AVERAGE(AS27:AS36)</f>
        <v>143.65033539060281</v>
      </c>
      <c r="AT37" s="87"/>
      <c r="AU37" s="87"/>
      <c r="AX37" s="79">
        <f>BB21</f>
        <v>0.22563585998489052</v>
      </c>
      <c r="AY37" s="88">
        <f>H22</f>
        <v>78.304739024231026</v>
      </c>
      <c r="AZ37" s="88">
        <f>H23</f>
        <v>7.461385504990055</v>
      </c>
      <c r="BB37" s="40">
        <v>1.1499999999999999</v>
      </c>
      <c r="BC37" s="40">
        <v>3.9</v>
      </c>
    </row>
    <row r="38" spans="1:55" s="39" customFormat="1" ht="15.75" x14ac:dyDescent="0.25">
      <c r="A38" s="70">
        <f>STDEV(A27:A36)</f>
        <v>1.0452238035976362</v>
      </c>
      <c r="B38" s="66">
        <f>STDEV(B27:B36)</f>
        <v>240.04429777081558</v>
      </c>
      <c r="C38" s="66"/>
      <c r="D38" s="66"/>
      <c r="E38" s="66"/>
      <c r="F38" s="84"/>
      <c r="G38" s="69"/>
      <c r="H38" s="69">
        <f>STDEV(H27:H36)</f>
        <v>14.562784745141762</v>
      </c>
      <c r="I38" s="69"/>
      <c r="J38" s="69"/>
      <c r="K38" s="69"/>
      <c r="L38" s="69"/>
      <c r="M38" s="69"/>
      <c r="N38" s="69"/>
      <c r="O38" s="69">
        <f>STDEV(O27:O36)</f>
        <v>14.562770766679005</v>
      </c>
      <c r="P38" s="66"/>
      <c r="Q38" s="66"/>
      <c r="R38" s="66"/>
      <c r="S38" s="66"/>
      <c r="T38" s="66"/>
      <c r="U38" s="84"/>
      <c r="V38" s="69"/>
      <c r="W38" s="69">
        <f>STDEV(W27:W36)</f>
        <v>2.1632290721431655</v>
      </c>
      <c r="X38" s="69"/>
      <c r="Y38" s="69"/>
      <c r="Z38" s="69"/>
      <c r="AA38" s="69"/>
      <c r="AB38" s="69"/>
      <c r="AC38" s="69"/>
      <c r="AD38" s="69">
        <f>STDEV(AD27:AD36)</f>
        <v>2.1632308109081619</v>
      </c>
      <c r="AE38" s="66"/>
      <c r="AF38" s="66"/>
      <c r="AG38" s="66"/>
      <c r="AH38" s="66"/>
      <c r="AI38" s="66"/>
      <c r="AJ38" s="85"/>
      <c r="AK38" s="86"/>
      <c r="AL38" s="86">
        <f>STDEV(AL27:AL36)</f>
        <v>2.9948320899608163</v>
      </c>
      <c r="AM38" s="86"/>
      <c r="AN38" s="86"/>
      <c r="AO38" s="86"/>
      <c r="AP38" s="86"/>
      <c r="AQ38" s="86"/>
      <c r="AR38" s="86"/>
      <c r="AS38" s="86">
        <f>STDEV(AS27:AS36)</f>
        <v>2.9948440029020382</v>
      </c>
      <c r="AT38" s="87"/>
      <c r="AU38" s="87"/>
      <c r="AX38" s="79">
        <f>BB22</f>
        <v>0.33845378997733577</v>
      </c>
      <c r="AY38" s="88">
        <f>W22</f>
        <v>77.652429585297313</v>
      </c>
      <c r="AZ38" s="88">
        <f>W23</f>
        <v>21.058730807521787</v>
      </c>
      <c r="BB38" s="74"/>
      <c r="BC38" s="74"/>
    </row>
    <row r="39" spans="1:55" ht="15.75" x14ac:dyDescent="0.25">
      <c r="B39" s="56">
        <v>0.75</v>
      </c>
      <c r="C39" s="56"/>
      <c r="D39" s="57"/>
      <c r="E39" s="57"/>
      <c r="F39" s="57"/>
      <c r="G39" s="57"/>
      <c r="H39" s="57"/>
      <c r="I39" s="57"/>
      <c r="J39" s="57"/>
      <c r="K39" s="57"/>
      <c r="L39" s="57"/>
      <c r="M39" s="57"/>
      <c r="N39" s="57"/>
      <c r="O39" s="57"/>
      <c r="P39" s="57"/>
      <c r="Q39" s="57"/>
      <c r="R39" s="57"/>
      <c r="S39" s="57"/>
      <c r="T39" s="57"/>
      <c r="U39" s="57"/>
      <c r="V39" s="57"/>
      <c r="W39" s="57"/>
      <c r="X39" s="57"/>
      <c r="Y39" s="57"/>
      <c r="Z39" s="57"/>
      <c r="AA39" s="57"/>
      <c r="AB39" s="57"/>
      <c r="AC39" s="57"/>
      <c r="AD39" s="57"/>
      <c r="AE39" s="57"/>
      <c r="AF39" s="57"/>
      <c r="AG39" s="57"/>
      <c r="AH39" s="57"/>
      <c r="AI39" s="57"/>
      <c r="AJ39" s="35"/>
      <c r="AK39" s="35"/>
      <c r="AL39" s="35"/>
      <c r="AM39" s="35"/>
      <c r="AN39" s="35"/>
      <c r="AO39" s="35"/>
      <c r="AP39" s="35"/>
      <c r="AQ39" s="35"/>
      <c r="AR39" s="35"/>
      <c r="AS39" s="35"/>
      <c r="AT39" s="35"/>
      <c r="AU39" s="35"/>
      <c r="AX39" s="79">
        <f>BB23</f>
        <v>0.45127171996978105</v>
      </c>
      <c r="AY39" s="100">
        <f>AL22</f>
        <v>166.75098601855589</v>
      </c>
      <c r="AZ39" s="100">
        <f>AL23</f>
        <v>50.68050323511256</v>
      </c>
      <c r="BB39" s="95">
        <v>1.2</v>
      </c>
      <c r="BC39" s="95">
        <v>3.9</v>
      </c>
    </row>
    <row r="40" spans="1:55" ht="15.75" x14ac:dyDescent="0.25">
      <c r="B40" s="58" t="s">
        <v>53</v>
      </c>
      <c r="C40" s="58"/>
      <c r="D40" s="58"/>
      <c r="E40" s="58"/>
      <c r="F40" s="42"/>
      <c r="G40" s="42"/>
      <c r="H40" s="42" t="s">
        <v>123</v>
      </c>
      <c r="I40" s="42"/>
      <c r="J40" s="42"/>
      <c r="K40" s="42"/>
      <c r="L40" s="42"/>
      <c r="M40" s="42"/>
      <c r="N40" s="42"/>
      <c r="O40" s="42"/>
      <c r="P40" s="42"/>
      <c r="Q40" s="58" t="s">
        <v>54</v>
      </c>
      <c r="R40" s="58"/>
      <c r="S40" s="58"/>
      <c r="T40" s="58"/>
      <c r="U40" s="42"/>
      <c r="V40" s="42"/>
      <c r="W40" s="42" t="s">
        <v>123</v>
      </c>
      <c r="X40" s="42"/>
      <c r="Y40" s="42"/>
      <c r="Z40" s="42"/>
      <c r="AA40" s="42"/>
      <c r="AB40" s="42"/>
      <c r="AC40" s="42"/>
      <c r="AD40" s="42"/>
      <c r="AE40" s="42"/>
      <c r="AF40" s="58" t="s">
        <v>55</v>
      </c>
      <c r="AG40" s="58"/>
      <c r="AH40" s="58"/>
      <c r="AI40" s="58"/>
      <c r="AJ40" s="36"/>
      <c r="AK40" s="36"/>
      <c r="AL40" s="36" t="s">
        <v>123</v>
      </c>
      <c r="AM40" s="36"/>
      <c r="AN40" s="36"/>
      <c r="AO40" s="36"/>
      <c r="AP40" s="36"/>
      <c r="AQ40" s="36"/>
      <c r="AR40" s="36"/>
      <c r="AS40" s="36"/>
      <c r="AT40" s="36"/>
      <c r="AU40" s="36"/>
      <c r="BB40" s="78"/>
      <c r="BC40" s="78"/>
    </row>
    <row r="41" spans="1:55" x14ac:dyDescent="0.2">
      <c r="A41" s="39" t="s">
        <v>103</v>
      </c>
      <c r="B41" s="3" t="s">
        <v>8</v>
      </c>
      <c r="C41" s="3" t="s">
        <v>56</v>
      </c>
      <c r="D41" s="4" t="s">
        <v>9</v>
      </c>
      <c r="E41" s="3" t="s">
        <v>57</v>
      </c>
      <c r="F41" s="3" t="s">
        <v>104</v>
      </c>
      <c r="G41" s="3" t="s">
        <v>105</v>
      </c>
      <c r="H41" s="3" t="s">
        <v>125</v>
      </c>
      <c r="I41" s="3" t="s">
        <v>111</v>
      </c>
      <c r="J41" s="3" t="s">
        <v>112</v>
      </c>
      <c r="K41" s="3" t="s">
        <v>113</v>
      </c>
      <c r="L41" s="3" t="s">
        <v>115</v>
      </c>
      <c r="M41" s="3" t="s">
        <v>114</v>
      </c>
      <c r="N41" s="3" t="s">
        <v>116</v>
      </c>
      <c r="O41" s="3" t="s">
        <v>118</v>
      </c>
      <c r="P41" s="3" t="s">
        <v>103</v>
      </c>
      <c r="Q41" s="3" t="s">
        <v>8</v>
      </c>
      <c r="R41" s="3" t="s">
        <v>56</v>
      </c>
      <c r="S41" s="4" t="s">
        <v>9</v>
      </c>
      <c r="T41" s="3" t="s">
        <v>57</v>
      </c>
      <c r="U41" s="3" t="s">
        <v>104</v>
      </c>
      <c r="V41" s="3" t="s">
        <v>105</v>
      </c>
      <c r="W41" s="3" t="s">
        <v>125</v>
      </c>
      <c r="X41" s="3" t="s">
        <v>111</v>
      </c>
      <c r="Y41" s="3" t="s">
        <v>112</v>
      </c>
      <c r="Z41" s="3" t="s">
        <v>113</v>
      </c>
      <c r="AA41" s="3" t="s">
        <v>115</v>
      </c>
      <c r="AB41" s="3" t="s">
        <v>114</v>
      </c>
      <c r="AC41" s="3" t="s">
        <v>116</v>
      </c>
      <c r="AD41" s="3" t="s">
        <v>118</v>
      </c>
      <c r="AE41" s="3" t="s">
        <v>103</v>
      </c>
      <c r="AF41" s="3" t="s">
        <v>8</v>
      </c>
      <c r="AG41" s="3" t="s">
        <v>56</v>
      </c>
      <c r="AH41" s="4" t="s">
        <v>9</v>
      </c>
      <c r="AI41" s="3" t="s">
        <v>57</v>
      </c>
      <c r="AJ41" s="37" t="s">
        <v>104</v>
      </c>
      <c r="AK41" s="37" t="s">
        <v>105</v>
      </c>
      <c r="AL41" s="37" t="s">
        <v>125</v>
      </c>
      <c r="AM41" s="37" t="s">
        <v>111</v>
      </c>
      <c r="AN41" s="37" t="s">
        <v>112</v>
      </c>
      <c r="AO41" s="37" t="s">
        <v>113</v>
      </c>
      <c r="AP41" s="37" t="s">
        <v>115</v>
      </c>
      <c r="AQ41" s="37" t="s">
        <v>114</v>
      </c>
      <c r="AR41" s="37" t="s">
        <v>116</v>
      </c>
      <c r="AS41" s="37" t="s">
        <v>118</v>
      </c>
      <c r="AT41" s="37"/>
      <c r="AU41" s="37"/>
    </row>
    <row r="42" spans="1:55" ht="15.75" x14ac:dyDescent="0.25">
      <c r="A42" s="40">
        <f t="shared" ref="A42:A51" si="69">(B42/3600)/(PI()*(G$5/1000/2)^2)</f>
        <v>0.78050137087792937</v>
      </c>
      <c r="B42" s="5">
        <v>179.24860000000001</v>
      </c>
      <c r="C42" s="5">
        <v>0.47668491251606127</v>
      </c>
      <c r="D42" s="5">
        <v>0.31767630000000002</v>
      </c>
      <c r="E42" s="49">
        <v>3.4469071050083734E-3</v>
      </c>
      <c r="F42" s="43">
        <f>B42*$G$5/1000/$BC$2</f>
        <v>50933051.844466604</v>
      </c>
      <c r="G42" s="5">
        <f>(D42/$BA$2)*($G$5/1000)*2*$BA$2/((A42^2)*$AY$2)</f>
        <v>0.27022134166231754</v>
      </c>
      <c r="H42" s="5">
        <f>((3.7^2)/(10^(1/(G42^0.5))))^0.5*$G$5</f>
        <v>115.13047907178594</v>
      </c>
      <c r="I42" s="5">
        <f>G42^0.5</f>
        <v>0.51982818475176729</v>
      </c>
      <c r="J42" s="5">
        <f>1/I42</f>
        <v>1.9237125445160854</v>
      </c>
      <c r="K42" s="5">
        <f>10^J42</f>
        <v>83.890453959394875</v>
      </c>
      <c r="L42" s="5">
        <f>1/K42</f>
        <v>1.1920307410471584E-2</v>
      </c>
      <c r="M42" s="5">
        <f>L42^0.5</f>
        <v>0.10918016033360449</v>
      </c>
      <c r="N42" s="5">
        <f>M42-(2.51/(F42*I42))</f>
        <v>0.10918006553232493</v>
      </c>
      <c r="O42" s="5">
        <f>N42*3.7*$G$5</f>
        <v>115.13037910383663</v>
      </c>
      <c r="P42" s="5">
        <f>(Q42/3600)/(PI()*($G$5/1000/2)^2)</f>
        <v>0.782174726635399</v>
      </c>
      <c r="Q42" s="5">
        <v>179.63290000000001</v>
      </c>
      <c r="R42" s="5">
        <v>0.47668491251606127</v>
      </c>
      <c r="S42" s="5">
        <v>0.35813420000000001</v>
      </c>
      <c r="T42" s="19">
        <v>3.4469071050083734E-3</v>
      </c>
      <c r="U42" s="43">
        <f>Q42*$G$5/1000/$BC$2</f>
        <v>51042249.750747763</v>
      </c>
      <c r="V42" s="19">
        <f>(S42/$BA$2)*($G$5/1000)*2*$BA$2/((P42^2)*$AY$2)</f>
        <v>0.30333352239865197</v>
      </c>
      <c r="W42" s="19">
        <f>((3.7^2)/(10^(1/(V42^0.5))))^0.5*$G$5</f>
        <v>130.37837625660211</v>
      </c>
      <c r="X42" s="19">
        <f>V42^0.5</f>
        <v>0.55075722636988789</v>
      </c>
      <c r="Y42" s="19">
        <f>1/X42</f>
        <v>1.8156820321562177</v>
      </c>
      <c r="Z42" s="19">
        <f>10^Y42</f>
        <v>65.415705890349145</v>
      </c>
      <c r="AA42" s="19">
        <f>1/Z42</f>
        <v>1.5286848722174092E-2</v>
      </c>
      <c r="AB42" s="19">
        <f>AA42^0.5</f>
        <v>0.12363999645007311</v>
      </c>
      <c r="AC42" s="19">
        <f>AB42-(2.51/(U42*X42))</f>
        <v>0.12363990716400278</v>
      </c>
      <c r="AD42" s="19">
        <f>AC42*3.7*$G$5</f>
        <v>130.37828210444093</v>
      </c>
      <c r="AE42" s="19">
        <f>(AF42/3600)/(PI()*($G$5/1000/2)^2)</f>
        <v>0.39712720659427064</v>
      </c>
      <c r="AF42" s="5">
        <v>91.203550000000007</v>
      </c>
      <c r="AG42" s="5">
        <v>0.4068872631730831</v>
      </c>
      <c r="AH42" s="5">
        <v>0.12380919999999999</v>
      </c>
      <c r="AI42" s="5">
        <v>3.4469071050083734E-3</v>
      </c>
      <c r="AJ42" s="52">
        <f>AF42*$G$5/1000/$BC$2</f>
        <v>25915265.952143572</v>
      </c>
      <c r="AK42" s="16">
        <f>(AH42/$BA$2)*($G$5/1000)*2*$BA$2/((AE42^2)*$AY$2)</f>
        <v>0.40679518707056311</v>
      </c>
      <c r="AL42" s="16">
        <f>((3.7^2)/(10^(1/(AK42^0.5))))^0.5*$G$5</f>
        <v>173.42347715322194</v>
      </c>
      <c r="AM42" s="16">
        <f>AK42^0.5</f>
        <v>0.63780497573361961</v>
      </c>
      <c r="AN42" s="16">
        <f>1/AM42</f>
        <v>1.5678773889303299</v>
      </c>
      <c r="AO42" s="16">
        <f>10^AN42</f>
        <v>36.972378373046737</v>
      </c>
      <c r="AP42" s="16">
        <f>1/AO42</f>
        <v>2.7047218599521063E-2</v>
      </c>
      <c r="AQ42" s="16">
        <f>AP42^0.5</f>
        <v>0.16446038611021518</v>
      </c>
      <c r="AR42" s="16">
        <f>AQ42-(2.51/(AJ42*AM42))</f>
        <v>0.16446023425484727</v>
      </c>
      <c r="AS42" s="16">
        <f>AR42*3.7*$G$5</f>
        <v>173.42331702173644</v>
      </c>
      <c r="AT42" s="16"/>
      <c r="AU42" s="16"/>
      <c r="AX42" s="12" t="s">
        <v>129</v>
      </c>
      <c r="AY42" s="75">
        <v>0.5</v>
      </c>
      <c r="AZ42" s="76"/>
      <c r="BB42" s="97" t="s">
        <v>132</v>
      </c>
      <c r="BC42" s="98"/>
    </row>
    <row r="43" spans="1:55" ht="15.75" x14ac:dyDescent="0.25">
      <c r="A43" s="40">
        <f t="shared" si="69"/>
        <v>0.78107221901689439</v>
      </c>
      <c r="B43" s="5">
        <v>179.37970000000001</v>
      </c>
      <c r="C43" s="5">
        <v>0.47668491251606127</v>
      </c>
      <c r="D43" s="5">
        <v>0.41390670000000002</v>
      </c>
      <c r="E43" s="49">
        <v>3.4469071050083734E-3</v>
      </c>
      <c r="F43" s="43">
        <f t="shared" ref="F43:F51" si="70">B43*$G$5/1000/$BC$2</f>
        <v>50970303.589232311</v>
      </c>
      <c r="G43" s="5">
        <f t="shared" ref="G43:G51" si="71">(D43/$BA$2)*($G$5/1000)*2*$BA$2/((A43^2)*$AY$2)</f>
        <v>0.35156225752353276</v>
      </c>
      <c r="H43" s="5">
        <f t="shared" ref="H43:H51" si="72">((3.7^2)/(10^(1/(G43^0.5))))^0.5*$G$5</f>
        <v>151.27677261215706</v>
      </c>
      <c r="I43" s="5">
        <f t="shared" ref="I43:I51" si="73">G43^0.5</f>
        <v>0.59292685680742507</v>
      </c>
      <c r="J43" s="5">
        <f t="shared" ref="J43:J51" si="74">1/I43</f>
        <v>1.6865486670386849</v>
      </c>
      <c r="K43" s="5">
        <f t="shared" ref="K43:K51" si="75">10^J43</f>
        <v>48.590197806135393</v>
      </c>
      <c r="L43" s="5">
        <f t="shared" ref="L43:L51" si="76">1/K43</f>
        <v>2.0580282549780685E-2</v>
      </c>
      <c r="M43" s="5">
        <f t="shared" ref="M43:M51" si="77">L43^0.5</f>
        <v>0.14345829550702421</v>
      </c>
      <c r="N43" s="5">
        <f t="shared" ref="N43:N51" si="78">M43-(2.51/(F43*I43))</f>
        <v>0.1434582124540138</v>
      </c>
      <c r="O43" s="5">
        <f t="shared" ref="O43:O51" si="79">N43*3.7*$G$5</f>
        <v>151.27668503275757</v>
      </c>
      <c r="P43" s="5">
        <f t="shared" ref="P43:P51" si="80">(Q43/3600)/(PI()*($G$5/1000/2)^2)</f>
        <v>0.78096379705915053</v>
      </c>
      <c r="Q43" s="5">
        <v>179.35480000000001</v>
      </c>
      <c r="R43" s="5">
        <v>0.47668491251606127</v>
      </c>
      <c r="S43" s="5">
        <v>0.36690790000000001</v>
      </c>
      <c r="T43" s="19">
        <v>3.4469071050083734E-3</v>
      </c>
      <c r="U43" s="43">
        <f t="shared" ref="U43:U51" si="81">Q43*$G$5/1000/$BC$2</f>
        <v>50963228.315054834</v>
      </c>
      <c r="V43" s="19">
        <f t="shared" ref="V43:V51" si="82">(S43/$BA$2)*($G$5/1000)*2*$BA$2/((P43^2)*$AY$2)</f>
        <v>0.31172916020695024</v>
      </c>
      <c r="W43" s="19">
        <f t="shared" ref="W43:W51" si="83">((3.7^2)/(10^(1/(V43^0.5))))^0.5*$G$5</f>
        <v>134.12638264722253</v>
      </c>
      <c r="X43" s="19">
        <f t="shared" ref="X43:X51" si="84">V43^0.5</f>
        <v>0.55832710860834101</v>
      </c>
      <c r="Y43" s="19">
        <f t="shared" ref="Y43:Y51" si="85">1/X43</f>
        <v>1.7910647442724954</v>
      </c>
      <c r="Z43" s="19">
        <f t="shared" ref="Z43:Z51" si="86">10^Y43</f>
        <v>61.810854039482621</v>
      </c>
      <c r="AA43" s="19">
        <f t="shared" ref="AA43:AA51" si="87">1/Z43</f>
        <v>1.6178388335505521E-2</v>
      </c>
      <c r="AB43" s="19">
        <f t="shared" ref="AB43:AB51" si="88">AA43^0.5</f>
        <v>0.12719429364364393</v>
      </c>
      <c r="AC43" s="19">
        <f t="shared" ref="AC43:AC51" si="89">AB43-(2.51/(U43*X43))</f>
        <v>0.12719420543156129</v>
      </c>
      <c r="AD43" s="19">
        <f t="shared" ref="AD43:AD51" si="90">AC43*3.7*$G$5</f>
        <v>134.1262896275814</v>
      </c>
      <c r="AE43" s="19">
        <f t="shared" ref="AE43:AE51" si="91">(AF43/3600)/(PI()*($G$5/1000/2)^2)</f>
        <v>0.39680821090654683</v>
      </c>
      <c r="AF43" s="5">
        <v>91.130290000000002</v>
      </c>
      <c r="AG43" s="5">
        <v>0.4068872631730831</v>
      </c>
      <c r="AH43" s="5">
        <v>0.1209491</v>
      </c>
      <c r="AI43" s="5">
        <v>3.4469071050083734E-3</v>
      </c>
      <c r="AJ43" s="52">
        <f t="shared" ref="AJ43:AJ51" si="92">AF43*$G$5/1000/$BC$2</f>
        <v>25894449.302093718</v>
      </c>
      <c r="AK43" s="16">
        <f t="shared" ref="AK43:AK51" si="93">(AH43/$BA$2)*($G$5/1000)*2*$BA$2/((AE43^2)*$AY$2)</f>
        <v>0.39803706135536937</v>
      </c>
      <c r="AL43" s="16">
        <f t="shared" ref="AL43:AL51" si="94">((3.7^2)/(10^(1/(AK43^0.5))))^0.5*$G$5</f>
        <v>170.03181910397859</v>
      </c>
      <c r="AM43" s="16">
        <f t="shared" ref="AM43:AM51" si="95">AK43^0.5</f>
        <v>0.63090178423853693</v>
      </c>
      <c r="AN43" s="16">
        <f t="shared" ref="AN43:AN51" si="96">1/AM43</f>
        <v>1.5850327657686749</v>
      </c>
      <c r="AO43" s="16">
        <f t="shared" ref="AO43:AO51" si="97">10^AN43</f>
        <v>38.462079904019475</v>
      </c>
      <c r="AP43" s="16">
        <f t="shared" ref="AP43:AP51" si="98">1/AO43</f>
        <v>2.5999633990035343E-2</v>
      </c>
      <c r="AQ43" s="16">
        <f t="shared" ref="AQ43:AQ51" si="99">AP43^0.5</f>
        <v>0.16124402001325613</v>
      </c>
      <c r="AR43" s="16">
        <f t="shared" ref="AR43:AR51" si="100">AQ43-(2.51/(AJ43*AM43))</f>
        <v>0.16124386637290658</v>
      </c>
      <c r="AS43" s="16">
        <f t="shared" ref="AS43:AS51" si="101">AR43*3.7*$G$5</f>
        <v>170.03165709023</v>
      </c>
      <c r="AT43" s="16"/>
      <c r="AU43" s="16"/>
      <c r="AX43" s="77" t="s">
        <v>126</v>
      </c>
      <c r="AY43" s="78" t="s">
        <v>127</v>
      </c>
      <c r="AZ43" s="78" t="s">
        <v>128</v>
      </c>
      <c r="BB43" s="39" t="s">
        <v>130</v>
      </c>
      <c r="BC43" s="39" t="s">
        <v>131</v>
      </c>
    </row>
    <row r="44" spans="1:55" ht="15.75" x14ac:dyDescent="0.25">
      <c r="A44" s="40">
        <f t="shared" si="69"/>
        <v>1.1929676719156723</v>
      </c>
      <c r="B44" s="5">
        <v>273.97489999999999</v>
      </c>
      <c r="C44" s="5">
        <v>0.7405074784630995</v>
      </c>
      <c r="D44" s="5">
        <v>1.288368</v>
      </c>
      <c r="E44" s="49">
        <v>3.7812095082100676E-3</v>
      </c>
      <c r="F44" s="43">
        <f t="shared" si="70"/>
        <v>77849298.604187444</v>
      </c>
      <c r="G44" s="5">
        <f t="shared" si="71"/>
        <v>0.46909926240532684</v>
      </c>
      <c r="H44" s="5">
        <f t="shared" si="72"/>
        <v>196.34586444722686</v>
      </c>
      <c r="I44" s="5">
        <f t="shared" si="73"/>
        <v>0.68490821458449958</v>
      </c>
      <c r="J44" s="5">
        <f t="shared" si="74"/>
        <v>1.460049651480164</v>
      </c>
      <c r="K44" s="5">
        <f t="shared" si="75"/>
        <v>28.843612439472736</v>
      </c>
      <c r="L44" s="5">
        <f t="shared" si="76"/>
        <v>3.4669721141845994E-2</v>
      </c>
      <c r="M44" s="5">
        <f t="shared" si="77"/>
        <v>0.18619806965123456</v>
      </c>
      <c r="N44" s="5">
        <f t="shared" si="78"/>
        <v>0.18619802257663415</v>
      </c>
      <c r="O44" s="5">
        <f t="shared" si="79"/>
        <v>196.34581480706072</v>
      </c>
      <c r="P44" s="5">
        <f t="shared" si="80"/>
        <v>1.1742320092738803</v>
      </c>
      <c r="Q44" s="5">
        <v>269.6721</v>
      </c>
      <c r="R44" s="5">
        <v>0.7405074784630995</v>
      </c>
      <c r="S44" s="5">
        <v>1.2584150000000001</v>
      </c>
      <c r="T44" s="19">
        <v>3.7812095082100676E-3</v>
      </c>
      <c r="U44" s="43">
        <f t="shared" si="81"/>
        <v>76626668.494516462</v>
      </c>
      <c r="V44" s="19">
        <f t="shared" si="82"/>
        <v>0.47293148409109559</v>
      </c>
      <c r="W44" s="19">
        <f t="shared" si="83"/>
        <v>197.6903702149279</v>
      </c>
      <c r="X44" s="19">
        <f t="shared" si="84"/>
        <v>0.68770014111609401</v>
      </c>
      <c r="Y44" s="19">
        <f t="shared" si="85"/>
        <v>1.4541221387232275</v>
      </c>
      <c r="Z44" s="19">
        <f t="shared" si="86"/>
        <v>28.45261181407243</v>
      </c>
      <c r="AA44" s="19">
        <f t="shared" si="87"/>
        <v>3.5146158339861372E-2</v>
      </c>
      <c r="AB44" s="19">
        <f t="shared" si="88"/>
        <v>0.1874730869748012</v>
      </c>
      <c r="AC44" s="19">
        <f t="shared" si="89"/>
        <v>0.18747303934325671</v>
      </c>
      <c r="AD44" s="19">
        <f t="shared" si="90"/>
        <v>197.69031998746419</v>
      </c>
      <c r="AE44" s="19">
        <f t="shared" si="91"/>
        <v>0.78990011769681667</v>
      </c>
      <c r="AF44" s="5">
        <v>181.40710000000001</v>
      </c>
      <c r="AG44" s="5">
        <v>0.47668491251606127</v>
      </c>
      <c r="AH44" s="5">
        <v>1.0736870000000001</v>
      </c>
      <c r="AI44" s="5">
        <v>3.4469071050083734E-3</v>
      </c>
      <c r="AJ44" s="52">
        <f t="shared" si="92"/>
        <v>51546384.346959129</v>
      </c>
      <c r="AK44" s="16">
        <f t="shared" si="93"/>
        <v>0.89169330979814321</v>
      </c>
      <c r="AL44" s="16">
        <f t="shared" si="94"/>
        <v>311.56675600852145</v>
      </c>
      <c r="AM44" s="16">
        <f t="shared" si="95"/>
        <v>0.94429513913719965</v>
      </c>
      <c r="AN44" s="16">
        <f t="shared" si="96"/>
        <v>1.0589909431427316</v>
      </c>
      <c r="AO44" s="16">
        <f t="shared" si="97"/>
        <v>11.454890529563555</v>
      </c>
      <c r="AP44" s="16">
        <f t="shared" si="98"/>
        <v>8.7298957368394964E-2</v>
      </c>
      <c r="AQ44" s="16">
        <f t="shared" si="99"/>
        <v>0.29546396966194538</v>
      </c>
      <c r="AR44" s="16">
        <f t="shared" si="100"/>
        <v>0.29546391809543299</v>
      </c>
      <c r="AS44" s="16">
        <f t="shared" si="101"/>
        <v>311.56670163163415</v>
      </c>
      <c r="AT44" s="16"/>
      <c r="AU44" s="16"/>
      <c r="AX44" s="73">
        <f>BC21</f>
        <v>0.45127171996978105</v>
      </c>
      <c r="AY44" s="100">
        <f>H37</f>
        <v>120.80821060101991</v>
      </c>
      <c r="AZ44" s="100">
        <f>H38</f>
        <v>14.562784745141762</v>
      </c>
      <c r="BB44" s="95">
        <v>1.2</v>
      </c>
      <c r="BC44" s="95">
        <v>4</v>
      </c>
    </row>
    <row r="45" spans="1:55" ht="15.75" x14ac:dyDescent="0.25">
      <c r="A45" s="40">
        <f t="shared" si="69"/>
        <v>1.1918538431288892</v>
      </c>
      <c r="B45" s="5">
        <v>273.71910000000003</v>
      </c>
      <c r="C45" s="5">
        <v>0.7405074784630995</v>
      </c>
      <c r="D45" s="5">
        <v>1.1656329999999999</v>
      </c>
      <c r="E45" s="49">
        <v>3.7812095082100676E-3</v>
      </c>
      <c r="F45" s="43">
        <f t="shared" si="70"/>
        <v>77776613.659022942</v>
      </c>
      <c r="G45" s="5">
        <f t="shared" si="71"/>
        <v>0.42520464705854655</v>
      </c>
      <c r="H45" s="5">
        <f t="shared" si="72"/>
        <v>180.41231696138945</v>
      </c>
      <c r="I45" s="5">
        <f t="shared" si="73"/>
        <v>0.65207717875919147</v>
      </c>
      <c r="J45" s="5">
        <f t="shared" si="74"/>
        <v>1.5335608001231622</v>
      </c>
      <c r="K45" s="5">
        <f t="shared" si="75"/>
        <v>34.163377519815924</v>
      </c>
      <c r="L45" s="5">
        <f t="shared" si="76"/>
        <v>2.9271110545787397E-2</v>
      </c>
      <c r="M45" s="5">
        <f t="shared" si="77"/>
        <v>0.17108801987803646</v>
      </c>
      <c r="N45" s="5">
        <f t="shared" si="78"/>
        <v>0.17108797038709789</v>
      </c>
      <c r="O45" s="5">
        <f t="shared" si="79"/>
        <v>180.41226477319472</v>
      </c>
      <c r="P45" s="5">
        <f t="shared" si="80"/>
        <v>1.175897962729014</v>
      </c>
      <c r="Q45" s="5">
        <v>270.05470000000003</v>
      </c>
      <c r="R45" s="5">
        <v>0.7405074784630995</v>
      </c>
      <c r="S45" s="5">
        <v>1.2051179999999999</v>
      </c>
      <c r="T45" s="19">
        <v>3.7812095082100676E-3</v>
      </c>
      <c r="U45" s="43">
        <f t="shared" si="81"/>
        <v>76735383.349950165</v>
      </c>
      <c r="V45" s="19">
        <f t="shared" si="82"/>
        <v>0.45161927359645204</v>
      </c>
      <c r="W45" s="19">
        <f t="shared" si="83"/>
        <v>190.12009490260834</v>
      </c>
      <c r="X45" s="19">
        <f t="shared" si="84"/>
        <v>0.67202624472296624</v>
      </c>
      <c r="Y45" s="19">
        <f t="shared" si="85"/>
        <v>1.4880371233302601</v>
      </c>
      <c r="Z45" s="19">
        <f t="shared" si="86"/>
        <v>30.763597695870963</v>
      </c>
      <c r="AA45" s="19">
        <f t="shared" si="87"/>
        <v>3.2505951023219182E-2</v>
      </c>
      <c r="AB45" s="19">
        <f t="shared" si="88"/>
        <v>0.18029406818644694</v>
      </c>
      <c r="AC45" s="19">
        <f t="shared" si="89"/>
        <v>0.18029401951303167</v>
      </c>
      <c r="AD45" s="19">
        <f t="shared" si="90"/>
        <v>190.1200435764919</v>
      </c>
      <c r="AE45" s="19">
        <f t="shared" si="91"/>
        <v>0.78872794135044433</v>
      </c>
      <c r="AF45" s="5">
        <v>181.1379</v>
      </c>
      <c r="AG45" s="5">
        <v>0.47668491251606127</v>
      </c>
      <c r="AH45" s="5">
        <v>1.0693539999999999</v>
      </c>
      <c r="AI45" s="5">
        <v>3.4469071050083734E-3</v>
      </c>
      <c r="AJ45" s="52">
        <f t="shared" si="92"/>
        <v>51469891.824526422</v>
      </c>
      <c r="AK45" s="16">
        <f t="shared" si="93"/>
        <v>0.8907364327256545</v>
      </c>
      <c r="AL45" s="16">
        <f t="shared" si="94"/>
        <v>311.36284191529779</v>
      </c>
      <c r="AM45" s="16">
        <f t="shared" si="95"/>
        <v>0.94378834106257881</v>
      </c>
      <c r="AN45" s="16">
        <f t="shared" si="96"/>
        <v>1.0595596030293555</v>
      </c>
      <c r="AO45" s="16">
        <f t="shared" si="97"/>
        <v>11.469899247191769</v>
      </c>
      <c r="AP45" s="16">
        <f t="shared" si="98"/>
        <v>8.7184723984810489E-2</v>
      </c>
      <c r="AQ45" s="16">
        <f t="shared" si="99"/>
        <v>0.29527059451427007</v>
      </c>
      <c r="AR45" s="16">
        <f t="shared" si="100"/>
        <v>0.2952705428433901</v>
      </c>
      <c r="AS45" s="16">
        <f t="shared" si="101"/>
        <v>311.36278742835492</v>
      </c>
      <c r="AT45" s="16"/>
      <c r="AU45" s="16"/>
      <c r="AX45" s="73">
        <f t="shared" ref="AX45:AX46" si="102">BC22</f>
        <v>0.67690757995467155</v>
      </c>
      <c r="AY45" s="101">
        <f>W37</f>
        <v>116.19059363305257</v>
      </c>
      <c r="AZ45" s="101">
        <f>W38</f>
        <v>2.1632290721431655</v>
      </c>
      <c r="BB45" s="99"/>
      <c r="BC45" s="99"/>
    </row>
    <row r="46" spans="1:55" ht="15.75" x14ac:dyDescent="0.25">
      <c r="A46" s="40">
        <f t="shared" si="69"/>
        <v>1.5806375664166921</v>
      </c>
      <c r="B46" s="5">
        <v>363.00650000000002</v>
      </c>
      <c r="C46" s="5">
        <v>0.7405074784630995</v>
      </c>
      <c r="D46" s="5">
        <v>1.264697</v>
      </c>
      <c r="E46" s="49">
        <v>3.7812095082100676E-3</v>
      </c>
      <c r="F46" s="43">
        <f t="shared" si="70"/>
        <v>103147410.26919244</v>
      </c>
      <c r="G46" s="5">
        <f t="shared" si="71"/>
        <v>0.26230348456339003</v>
      </c>
      <c r="H46" s="5">
        <f t="shared" si="72"/>
        <v>111.37328043656208</v>
      </c>
      <c r="I46" s="5">
        <f t="shared" si="73"/>
        <v>0.51215572296264544</v>
      </c>
      <c r="J46" s="5">
        <f t="shared" si="74"/>
        <v>1.9525311446591722</v>
      </c>
      <c r="K46" s="5">
        <f t="shared" si="75"/>
        <v>89.646047171899681</v>
      </c>
      <c r="L46" s="5">
        <f t="shared" si="76"/>
        <v>1.1154981525091255E-2</v>
      </c>
      <c r="M46" s="5">
        <f t="shared" si="77"/>
        <v>0.10561714598061839</v>
      </c>
      <c r="N46" s="5">
        <f t="shared" si="78"/>
        <v>0.10561709846751884</v>
      </c>
      <c r="O46" s="5">
        <f t="shared" si="79"/>
        <v>111.37323033399861</v>
      </c>
      <c r="P46" s="5">
        <f t="shared" si="80"/>
        <v>1.5743643329017645</v>
      </c>
      <c r="Q46" s="5">
        <v>361.56580000000002</v>
      </c>
      <c r="R46" s="5">
        <v>0.7405074784630995</v>
      </c>
      <c r="S46" s="5">
        <v>1.6555420000000001</v>
      </c>
      <c r="T46" s="19">
        <v>3.9273436143060277E-3</v>
      </c>
      <c r="U46" s="43">
        <f t="shared" si="81"/>
        <v>102738038.88334996</v>
      </c>
      <c r="V46" s="19">
        <f t="shared" si="82"/>
        <v>0.34610820015463684</v>
      </c>
      <c r="W46" s="19">
        <f t="shared" si="83"/>
        <v>148.98891606887869</v>
      </c>
      <c r="X46" s="19">
        <f t="shared" si="84"/>
        <v>0.58830961249552671</v>
      </c>
      <c r="Y46" s="19">
        <f t="shared" si="85"/>
        <v>1.699785247020086</v>
      </c>
      <c r="Z46" s="19">
        <f t="shared" si="86"/>
        <v>50.093946431495461</v>
      </c>
      <c r="AA46" s="19">
        <f t="shared" si="87"/>
        <v>1.9962491902440174E-2</v>
      </c>
      <c r="AB46" s="19">
        <f t="shared" si="88"/>
        <v>0.14128868285337001</v>
      </c>
      <c r="AC46" s="19">
        <f t="shared" si="89"/>
        <v>0.1412886413258013</v>
      </c>
      <c r="AD46" s="19">
        <f t="shared" si="90"/>
        <v>148.98887227805747</v>
      </c>
      <c r="AE46" s="19">
        <f t="shared" si="91"/>
        <v>1.185210059067616</v>
      </c>
      <c r="AF46" s="5">
        <v>272.19330000000002</v>
      </c>
      <c r="AG46" s="5">
        <v>0.7405074784630995</v>
      </c>
      <c r="AH46" s="5">
        <v>1.5627530000000001</v>
      </c>
      <c r="AI46" s="5">
        <v>3.7812095082100676E-3</v>
      </c>
      <c r="AJ46" s="52">
        <f t="shared" si="92"/>
        <v>77343061.316051856</v>
      </c>
      <c r="AK46" s="16">
        <f t="shared" si="93"/>
        <v>0.57647682690044377</v>
      </c>
      <c r="AL46" s="16">
        <f t="shared" si="94"/>
        <v>231.47881884824383</v>
      </c>
      <c r="AM46" s="16">
        <f t="shared" si="95"/>
        <v>0.75926071075780277</v>
      </c>
      <c r="AN46" s="16">
        <f t="shared" si="96"/>
        <v>1.3170706528485061</v>
      </c>
      <c r="AO46" s="16">
        <f t="shared" si="97"/>
        <v>20.752511005507163</v>
      </c>
      <c r="AP46" s="16">
        <f t="shared" si="98"/>
        <v>4.8186939871258314E-2</v>
      </c>
      <c r="AQ46" s="16">
        <f t="shared" si="99"/>
        <v>0.21951523835774661</v>
      </c>
      <c r="AR46" s="16">
        <f t="shared" si="100"/>
        <v>0.21951519561509741</v>
      </c>
      <c r="AS46" s="16">
        <f t="shared" si="101"/>
        <v>231.47877377612025</v>
      </c>
      <c r="AT46" s="16"/>
      <c r="AU46" s="16"/>
      <c r="AX46" s="73">
        <f t="shared" si="102"/>
        <v>0.9025434399395621</v>
      </c>
      <c r="AY46" s="88">
        <f>AL37</f>
        <v>143.65037076203379</v>
      </c>
      <c r="AZ46" s="88">
        <f>AL38</f>
        <v>2.9948320899608163</v>
      </c>
      <c r="BB46" s="1">
        <v>1.1499999999999999</v>
      </c>
      <c r="BC46" s="1">
        <v>3.86</v>
      </c>
    </row>
    <row r="47" spans="1:55" x14ac:dyDescent="0.2">
      <c r="A47" s="40">
        <f t="shared" si="69"/>
        <v>1.5836537869038096</v>
      </c>
      <c r="B47" s="5">
        <v>363.69920000000002</v>
      </c>
      <c r="C47" s="5">
        <v>0.7405074784630995</v>
      </c>
      <c r="D47" s="5">
        <v>1.250731</v>
      </c>
      <c r="E47" s="49">
        <v>3.7812095082100676E-3</v>
      </c>
      <c r="F47" s="43">
        <f t="shared" si="70"/>
        <v>103344239.28215355</v>
      </c>
      <c r="G47" s="5">
        <f t="shared" si="71"/>
        <v>0.25841968779215468</v>
      </c>
      <c r="H47" s="5">
        <f t="shared" si="72"/>
        <v>109.51464734140012</v>
      </c>
      <c r="I47" s="5">
        <f t="shared" si="73"/>
        <v>0.50834996586225389</v>
      </c>
      <c r="J47" s="5">
        <f t="shared" si="74"/>
        <v>1.9671487501800424</v>
      </c>
      <c r="K47" s="5">
        <f t="shared" si="75"/>
        <v>92.714732618399879</v>
      </c>
      <c r="L47" s="5">
        <f t="shared" si="76"/>
        <v>1.0785772355250724E-2</v>
      </c>
      <c r="M47" s="5">
        <f t="shared" si="77"/>
        <v>0.10385457310706507</v>
      </c>
      <c r="N47" s="5">
        <f t="shared" si="78"/>
        <v>0.10385452532942989</v>
      </c>
      <c r="O47" s="5">
        <f t="shared" si="79"/>
        <v>109.51459695988382</v>
      </c>
      <c r="P47" s="5">
        <f t="shared" si="80"/>
        <v>1.56883655477502</v>
      </c>
      <c r="Q47" s="5">
        <v>360.29629999999997</v>
      </c>
      <c r="R47" s="5">
        <v>0.7405074784630995</v>
      </c>
      <c r="S47" s="5">
        <v>1.6412279999999999</v>
      </c>
      <c r="T47" s="19">
        <v>3.9273436143060277E-3</v>
      </c>
      <c r="U47" s="43">
        <f t="shared" si="81"/>
        <v>102377313.55932201</v>
      </c>
      <c r="V47" s="19">
        <f t="shared" si="82"/>
        <v>0.34553789875564689</v>
      </c>
      <c r="W47" s="19">
        <f t="shared" si="83"/>
        <v>148.74859995880288</v>
      </c>
      <c r="X47" s="19">
        <f t="shared" si="84"/>
        <v>0.58782471771408773</v>
      </c>
      <c r="Y47" s="19">
        <f t="shared" si="85"/>
        <v>1.7011873945838227</v>
      </c>
      <c r="Z47" s="19">
        <f t="shared" si="86"/>
        <v>50.255939308971229</v>
      </c>
      <c r="AA47" s="19">
        <f t="shared" si="87"/>
        <v>1.9898145647065622E-2</v>
      </c>
      <c r="AB47" s="19">
        <f t="shared" si="88"/>
        <v>0.14106078706382444</v>
      </c>
      <c r="AC47" s="19">
        <f t="shared" si="89"/>
        <v>0.14106074535555713</v>
      </c>
      <c r="AD47" s="19">
        <f t="shared" si="90"/>
        <v>148.74855597743499</v>
      </c>
      <c r="AE47" s="19">
        <f t="shared" si="91"/>
        <v>1.1917933184215543</v>
      </c>
      <c r="AF47" s="5">
        <v>273.70519999999999</v>
      </c>
      <c r="AG47" s="5">
        <v>0.7405074784630995</v>
      </c>
      <c r="AH47" s="5">
        <v>1.541283</v>
      </c>
      <c r="AI47" s="5">
        <v>3.7812095082100676E-3</v>
      </c>
      <c r="AJ47" s="52">
        <f t="shared" si="92"/>
        <v>77772664.00797607</v>
      </c>
      <c r="AK47" s="16">
        <f t="shared" si="93"/>
        <v>0.56229298599163446</v>
      </c>
      <c r="AL47" s="16">
        <f t="shared" si="94"/>
        <v>227.12095652884324</v>
      </c>
      <c r="AM47" s="16">
        <f t="shared" si="95"/>
        <v>0.74986197796103415</v>
      </c>
      <c r="AN47" s="16">
        <f t="shared" si="96"/>
        <v>1.3335787510111148</v>
      </c>
      <c r="AO47" s="16">
        <f t="shared" si="97"/>
        <v>21.556524945444934</v>
      </c>
      <c r="AP47" s="16">
        <f t="shared" si="98"/>
        <v>4.6389666355351397E-2</v>
      </c>
      <c r="AQ47" s="16">
        <f t="shared" si="99"/>
        <v>0.21538260457927283</v>
      </c>
      <c r="AR47" s="16">
        <f t="shared" si="100"/>
        <v>0.21538256153995164</v>
      </c>
      <c r="AS47" s="16">
        <f t="shared" si="101"/>
        <v>227.12091114387903</v>
      </c>
      <c r="AT47" s="16"/>
      <c r="AU47" s="16"/>
    </row>
    <row r="48" spans="1:55" ht="15.75" x14ac:dyDescent="0.25">
      <c r="A48" s="40">
        <f t="shared" si="69"/>
        <v>2.3546244758094526</v>
      </c>
      <c r="B48" s="5">
        <v>540.75900000000001</v>
      </c>
      <c r="C48" s="5">
        <v>0.7405074784630995</v>
      </c>
      <c r="D48" s="5">
        <v>2.500874</v>
      </c>
      <c r="E48" s="49">
        <v>3.9626048017406467E-3</v>
      </c>
      <c r="F48" s="43">
        <f t="shared" si="70"/>
        <v>153655348.95314059</v>
      </c>
      <c r="G48" s="5">
        <f t="shared" si="71"/>
        <v>0.23373872665818013</v>
      </c>
      <c r="H48" s="5">
        <f t="shared" si="72"/>
        <v>97.464456418696983</v>
      </c>
      <c r="I48" s="5">
        <f t="shared" si="73"/>
        <v>0.48346533139221071</v>
      </c>
      <c r="J48" s="5">
        <f t="shared" si="74"/>
        <v>2.0684006382016067</v>
      </c>
      <c r="K48" s="5">
        <f t="shared" si="75"/>
        <v>117.05787561431657</v>
      </c>
      <c r="L48" s="5">
        <f t="shared" si="76"/>
        <v>8.5427827453046362E-3</v>
      </c>
      <c r="M48" s="5">
        <f t="shared" si="77"/>
        <v>9.2427175361495473E-2</v>
      </c>
      <c r="N48" s="5">
        <f t="shared" si="78"/>
        <v>9.2427141573634283E-2</v>
      </c>
      <c r="O48" s="5">
        <f t="shared" si="79"/>
        <v>97.464420789397352</v>
      </c>
      <c r="P48" s="5">
        <f t="shared" si="80"/>
        <v>2.3634980945920376</v>
      </c>
      <c r="Q48" s="5">
        <v>542.79690000000005</v>
      </c>
      <c r="R48" s="5">
        <v>0.7405074784630995</v>
      </c>
      <c r="S48" s="5">
        <v>3.1634549999999999</v>
      </c>
      <c r="T48" s="19">
        <v>4.2954406247413804E-3</v>
      </c>
      <c r="U48" s="43">
        <f t="shared" si="81"/>
        <v>154234413.26021934</v>
      </c>
      <c r="V48" s="19">
        <f t="shared" si="82"/>
        <v>0.29344946258559018</v>
      </c>
      <c r="W48" s="19">
        <f t="shared" si="83"/>
        <v>125.90503264508078</v>
      </c>
      <c r="X48" s="19">
        <f t="shared" si="84"/>
        <v>0.54170975862133974</v>
      </c>
      <c r="Y48" s="19">
        <f t="shared" si="85"/>
        <v>1.8460069882163772</v>
      </c>
      <c r="Z48" s="19">
        <f t="shared" si="86"/>
        <v>70.146658560193472</v>
      </c>
      <c r="AA48" s="19">
        <f t="shared" si="87"/>
        <v>1.425584654387908E-2</v>
      </c>
      <c r="AB48" s="19">
        <f t="shared" si="88"/>
        <v>0.11939784982937959</v>
      </c>
      <c r="AC48" s="19">
        <f t="shared" si="89"/>
        <v>0.11939781978759162</v>
      </c>
      <c r="AD48" s="19">
        <f t="shared" si="90"/>
        <v>125.90500096601538</v>
      </c>
      <c r="AE48" s="19">
        <f t="shared" si="91"/>
        <v>1.5742611360986105</v>
      </c>
      <c r="AF48" s="5">
        <v>361.5421</v>
      </c>
      <c r="AG48" s="5">
        <v>0.7405074784630995</v>
      </c>
      <c r="AH48" s="5">
        <v>2.1427049999999999</v>
      </c>
      <c r="AI48" s="5">
        <v>3.9626048017406467E-3</v>
      </c>
      <c r="AJ48" s="52">
        <f t="shared" si="92"/>
        <v>102731304.58624129</v>
      </c>
      <c r="AK48" s="16">
        <f t="shared" si="93"/>
        <v>0.44801340149213031</v>
      </c>
      <c r="AL48" s="16">
        <f t="shared" si="94"/>
        <v>188.81647090938566</v>
      </c>
      <c r="AM48" s="16">
        <f t="shared" si="95"/>
        <v>0.66933803230664424</v>
      </c>
      <c r="AN48" s="16">
        <f t="shared" si="96"/>
        <v>1.4940134158428777</v>
      </c>
      <c r="AO48" s="16">
        <f t="shared" si="97"/>
        <v>31.189859315739191</v>
      </c>
      <c r="AP48" s="16">
        <f t="shared" si="98"/>
        <v>3.2061702807853795E-2</v>
      </c>
      <c r="AQ48" s="16">
        <f t="shared" si="99"/>
        <v>0.17905781973388873</v>
      </c>
      <c r="AR48" s="16">
        <f t="shared" si="100"/>
        <v>0.1790577832311529</v>
      </c>
      <c r="AS48" s="16">
        <f t="shared" si="101"/>
        <v>188.81643241725075</v>
      </c>
      <c r="AT48" s="16"/>
      <c r="AU48" s="16"/>
      <c r="AX48" s="12" t="s">
        <v>129</v>
      </c>
      <c r="AY48" s="75">
        <v>0.75</v>
      </c>
      <c r="AZ48" s="76"/>
      <c r="BB48" s="97" t="s">
        <v>132</v>
      </c>
      <c r="BC48" s="98"/>
    </row>
    <row r="49" spans="1:55" ht="15.75" x14ac:dyDescent="0.25">
      <c r="A49" s="40">
        <f t="shared" si="69"/>
        <v>2.352907141667516</v>
      </c>
      <c r="B49" s="5">
        <v>540.3646</v>
      </c>
      <c r="C49" s="5">
        <v>0.7405074784630995</v>
      </c>
      <c r="D49" s="5">
        <v>2.520902</v>
      </c>
      <c r="E49" s="49">
        <v>3.9626048017406467E-3</v>
      </c>
      <c r="F49" s="43">
        <f t="shared" si="70"/>
        <v>153543281.15653041</v>
      </c>
      <c r="G49" s="5">
        <f t="shared" si="71"/>
        <v>0.23595465923634709</v>
      </c>
      <c r="H49" s="5">
        <f t="shared" si="72"/>
        <v>98.563016991381531</v>
      </c>
      <c r="I49" s="5">
        <f t="shared" si="73"/>
        <v>0.4857516435755489</v>
      </c>
      <c r="J49" s="5">
        <f t="shared" si="74"/>
        <v>2.0586651907940898</v>
      </c>
      <c r="K49" s="5">
        <f t="shared" si="75"/>
        <v>114.46301752669382</v>
      </c>
      <c r="L49" s="5">
        <f t="shared" si="76"/>
        <v>8.7364462479489584E-3</v>
      </c>
      <c r="M49" s="5">
        <f t="shared" si="77"/>
        <v>9.3468958740048874E-2</v>
      </c>
      <c r="N49" s="5">
        <f t="shared" si="78"/>
        <v>9.3468925086673815E-2</v>
      </c>
      <c r="O49" s="5">
        <f t="shared" si="79"/>
        <v>98.562981503897532</v>
      </c>
      <c r="P49" s="5">
        <f t="shared" si="80"/>
        <v>2.3640101597418641</v>
      </c>
      <c r="Q49" s="5">
        <v>542.91449999999998</v>
      </c>
      <c r="R49" s="5">
        <v>0.7405074784630995</v>
      </c>
      <c r="S49" s="5">
        <v>3.2017679999999999</v>
      </c>
      <c r="T49" s="19">
        <v>4.2954406247413804E-3</v>
      </c>
      <c r="U49" s="43">
        <f t="shared" si="81"/>
        <v>154267829.01296115</v>
      </c>
      <c r="V49" s="19">
        <f t="shared" si="82"/>
        <v>0.29687481267715748</v>
      </c>
      <c r="W49" s="19">
        <f t="shared" si="83"/>
        <v>127.46277200040093</v>
      </c>
      <c r="X49" s="19">
        <f t="shared" si="84"/>
        <v>0.54486219604332753</v>
      </c>
      <c r="Y49" s="19">
        <f t="shared" si="85"/>
        <v>1.8353264499937518</v>
      </c>
      <c r="Z49" s="19">
        <f t="shared" si="86"/>
        <v>68.442592248947747</v>
      </c>
      <c r="AA49" s="19">
        <f t="shared" si="87"/>
        <v>1.4610784997194115E-2</v>
      </c>
      <c r="AB49" s="19">
        <f t="shared" si="88"/>
        <v>0.12087508013314455</v>
      </c>
      <c r="AC49" s="19">
        <f t="shared" si="89"/>
        <v>0.12087505027164057</v>
      </c>
      <c r="AD49" s="19">
        <f t="shared" si="90"/>
        <v>127.46274051144499</v>
      </c>
      <c r="AE49" s="19">
        <f t="shared" si="91"/>
        <v>1.5755186566366206</v>
      </c>
      <c r="AF49" s="5">
        <v>361.83089999999999</v>
      </c>
      <c r="AG49" s="5">
        <v>0.7405074784630995</v>
      </c>
      <c r="AH49" s="5">
        <v>2.1079829999999999</v>
      </c>
      <c r="AI49" s="5">
        <v>3.9626048017406467E-3</v>
      </c>
      <c r="AJ49" s="52">
        <f t="shared" si="92"/>
        <v>102813366.40079761</v>
      </c>
      <c r="AK49" s="16">
        <f t="shared" si="93"/>
        <v>0.44005015075947357</v>
      </c>
      <c r="AL49" s="16">
        <f t="shared" si="94"/>
        <v>185.91360678677913</v>
      </c>
      <c r="AM49" s="16">
        <f t="shared" si="95"/>
        <v>0.66336275955126811</v>
      </c>
      <c r="AN49" s="16">
        <f t="shared" si="96"/>
        <v>1.5074708153295344</v>
      </c>
      <c r="AO49" s="16">
        <f t="shared" si="97"/>
        <v>32.171463325956722</v>
      </c>
      <c r="AP49" s="16">
        <f t="shared" si="98"/>
        <v>3.1083447770719697E-2</v>
      </c>
      <c r="AQ49" s="16">
        <f t="shared" si="99"/>
        <v>0.17630498509888964</v>
      </c>
      <c r="AR49" s="16">
        <f t="shared" si="100"/>
        <v>0.17630494829675117</v>
      </c>
      <c r="AS49" s="16">
        <f t="shared" si="101"/>
        <v>185.91356797892411</v>
      </c>
      <c r="AT49" s="16"/>
      <c r="AU49" s="16"/>
      <c r="AX49" s="77" t="s">
        <v>126</v>
      </c>
      <c r="AY49" s="78" t="s">
        <v>127</v>
      </c>
      <c r="AZ49" s="78" t="s">
        <v>128</v>
      </c>
      <c r="BB49" s="39" t="s">
        <v>130</v>
      </c>
      <c r="BC49" s="39" t="s">
        <v>131</v>
      </c>
    </row>
    <row r="50" spans="1:55" ht="15.75" x14ac:dyDescent="0.25">
      <c r="A50" s="40">
        <f t="shared" si="69"/>
        <v>2.9181164679708154</v>
      </c>
      <c r="B50" s="5">
        <v>670.16959999999995</v>
      </c>
      <c r="C50" s="5">
        <v>1.0900667160521404</v>
      </c>
      <c r="D50" s="5">
        <v>3.757368</v>
      </c>
      <c r="E50" s="49">
        <v>5.0797843784664651E-3</v>
      </c>
      <c r="F50" s="43">
        <f t="shared" si="70"/>
        <v>190427054.83549353</v>
      </c>
      <c r="G50" s="5">
        <f t="shared" si="71"/>
        <v>0.22864444783732282</v>
      </c>
      <c r="H50" s="5">
        <f t="shared" si="72"/>
        <v>94.926738619666466</v>
      </c>
      <c r="I50" s="5">
        <f t="shared" si="73"/>
        <v>0.47816780301199996</v>
      </c>
      <c r="J50" s="5">
        <f t="shared" si="74"/>
        <v>2.0913160478412727</v>
      </c>
      <c r="K50" s="5">
        <f t="shared" si="75"/>
        <v>123.40025235662067</v>
      </c>
      <c r="L50" s="5">
        <f t="shared" si="76"/>
        <v>8.1037111424217285E-3</v>
      </c>
      <c r="M50" s="5">
        <f t="shared" si="77"/>
        <v>9.0020615096886164E-2</v>
      </c>
      <c r="N50" s="5">
        <f t="shared" si="78"/>
        <v>9.0020587531458113E-2</v>
      </c>
      <c r="O50" s="5">
        <f t="shared" si="79"/>
        <v>94.926709551922585</v>
      </c>
      <c r="P50" s="5">
        <f t="shared" si="80"/>
        <v>2.9472131767351661</v>
      </c>
      <c r="Q50" s="5">
        <v>676.8519</v>
      </c>
      <c r="R50" s="5">
        <v>1.0900667160521404</v>
      </c>
      <c r="S50" s="5">
        <v>4.8999280000000001</v>
      </c>
      <c r="T50" s="5">
        <v>5.0797843784664651E-3</v>
      </c>
      <c r="U50" s="43">
        <f t="shared" si="81"/>
        <v>192325814.05782652</v>
      </c>
      <c r="V50" s="19">
        <f t="shared" si="82"/>
        <v>0.29231342974948726</v>
      </c>
      <c r="W50" s="19">
        <f t="shared" si="83"/>
        <v>125.38664182662289</v>
      </c>
      <c r="X50" s="19">
        <f t="shared" si="84"/>
        <v>0.54066017954856571</v>
      </c>
      <c r="Y50" s="19">
        <f t="shared" si="85"/>
        <v>1.8495906261026447</v>
      </c>
      <c r="Z50" s="19">
        <f t="shared" si="86"/>
        <v>70.727877619586849</v>
      </c>
      <c r="AA50" s="19">
        <f t="shared" si="87"/>
        <v>1.4138696560054384E-2</v>
      </c>
      <c r="AB50" s="19">
        <f t="shared" si="88"/>
        <v>0.11890625113951908</v>
      </c>
      <c r="AC50" s="19">
        <f t="shared" si="89"/>
        <v>0.11890622700093688</v>
      </c>
      <c r="AD50" s="19">
        <f t="shared" si="90"/>
        <v>125.38661637248794</v>
      </c>
      <c r="AE50" s="5">
        <f t="shared" si="91"/>
        <v>2.3562852041099958</v>
      </c>
      <c r="AF50" s="5">
        <v>541.1404</v>
      </c>
      <c r="AG50" s="5">
        <v>0.7405074784630995</v>
      </c>
      <c r="AH50" s="5">
        <v>3.9273690000000001</v>
      </c>
      <c r="AI50" s="5">
        <v>5.0797843784664651E-3</v>
      </c>
      <c r="AJ50" s="52">
        <f t="shared" si="92"/>
        <v>153763722.83150548</v>
      </c>
      <c r="AK50" s="16">
        <f t="shared" si="93"/>
        <v>0.36654573107981681</v>
      </c>
      <c r="AL50" s="16">
        <f t="shared" si="94"/>
        <v>157.46627528969191</v>
      </c>
      <c r="AM50" s="16">
        <f t="shared" si="95"/>
        <v>0.60543020330985864</v>
      </c>
      <c r="AN50" s="16">
        <f t="shared" si="96"/>
        <v>1.6517180585524915</v>
      </c>
      <c r="AO50" s="16">
        <f t="shared" si="97"/>
        <v>44.845416158242244</v>
      </c>
      <c r="AP50" s="16">
        <f t="shared" si="98"/>
        <v>2.2298823060786954E-2</v>
      </c>
      <c r="AQ50" s="16">
        <f t="shared" si="99"/>
        <v>0.14932790449472916</v>
      </c>
      <c r="AR50" s="16">
        <f t="shared" si="100"/>
        <v>0.14932787753250262</v>
      </c>
      <c r="AS50" s="16">
        <f t="shared" si="101"/>
        <v>157.46624685802402</v>
      </c>
      <c r="AT50" s="16"/>
      <c r="AU50" s="16"/>
      <c r="AX50" s="73">
        <f>BD21</f>
        <v>0.67690757995467166</v>
      </c>
      <c r="AY50" s="101">
        <f>H52</f>
        <v>124.96026128540146</v>
      </c>
      <c r="AZ50" s="101">
        <f>H53</f>
        <v>37.505679843580275</v>
      </c>
      <c r="BB50" s="91">
        <v>0.78</v>
      </c>
      <c r="BC50" s="91">
        <v>2.92</v>
      </c>
    </row>
    <row r="51" spans="1:55" ht="15.75" x14ac:dyDescent="0.25">
      <c r="A51" s="40">
        <f t="shared" si="69"/>
        <v>2.9174750802448846</v>
      </c>
      <c r="B51" s="5">
        <v>670.02229999999997</v>
      </c>
      <c r="C51" s="5">
        <v>1.0900667160521404</v>
      </c>
      <c r="D51" s="5">
        <v>3.7448199999999998</v>
      </c>
      <c r="E51" s="49">
        <v>5.0797843784664651E-3</v>
      </c>
      <c r="F51" s="43">
        <f t="shared" si="70"/>
        <v>190385199.9002991</v>
      </c>
      <c r="G51" s="5">
        <f t="shared" si="71"/>
        <v>0.2279810805391457</v>
      </c>
      <c r="H51" s="5">
        <f t="shared" si="72"/>
        <v>94.595039953748127</v>
      </c>
      <c r="I51" s="5">
        <f t="shared" si="73"/>
        <v>0.47747364381622753</v>
      </c>
      <c r="J51" s="5">
        <f t="shared" si="74"/>
        <v>2.0943564382055926</v>
      </c>
      <c r="K51" s="5">
        <f t="shared" si="75"/>
        <v>124.26717863209437</v>
      </c>
      <c r="L51" s="5">
        <f t="shared" si="76"/>
        <v>8.0471771469166585E-3</v>
      </c>
      <c r="M51" s="5">
        <f t="shared" si="77"/>
        <v>8.9706059700093044E-2</v>
      </c>
      <c r="N51" s="5">
        <f t="shared" si="78"/>
        <v>8.9706032088521015E-2</v>
      </c>
      <c r="O51" s="5">
        <f t="shared" si="79"/>
        <v>94.595010837345413</v>
      </c>
      <c r="P51" s="5">
        <f t="shared" si="80"/>
        <v>2.9446271606426313</v>
      </c>
      <c r="Q51" s="5">
        <v>676.25800000000004</v>
      </c>
      <c r="R51" s="5">
        <v>1.0900667160521404</v>
      </c>
      <c r="S51" s="5">
        <v>4.9008950000000002</v>
      </c>
      <c r="T51" s="5">
        <v>5.0797843784664651E-3</v>
      </c>
      <c r="U51" s="43">
        <f t="shared" si="81"/>
        <v>192157058.82352942</v>
      </c>
      <c r="V51" s="19">
        <f t="shared" si="82"/>
        <v>0.29288487272434022</v>
      </c>
      <c r="W51" s="19">
        <f t="shared" si="83"/>
        <v>125.64751049358142</v>
      </c>
      <c r="X51" s="19">
        <f t="shared" si="84"/>
        <v>0.54118838931035851</v>
      </c>
      <c r="Y51" s="19">
        <f t="shared" si="85"/>
        <v>1.8477853918379687</v>
      </c>
      <c r="Z51" s="19">
        <f t="shared" si="86"/>
        <v>70.434492840665712</v>
      </c>
      <c r="AA51" s="19">
        <f t="shared" si="87"/>
        <v>1.4197589272945612E-2</v>
      </c>
      <c r="AB51" s="19">
        <f t="shared" si="88"/>
        <v>0.11915363726276094</v>
      </c>
      <c r="AC51" s="19">
        <f t="shared" si="89"/>
        <v>0.11915361312656027</v>
      </c>
      <c r="AD51" s="19">
        <f t="shared" si="90"/>
        <v>125.64748504195781</v>
      </c>
      <c r="AE51" s="5">
        <f t="shared" si="91"/>
        <v>2.3588128726429418</v>
      </c>
      <c r="AF51" s="5">
        <v>541.72090000000003</v>
      </c>
      <c r="AG51" s="5">
        <v>0.7405074784630995</v>
      </c>
      <c r="AH51" s="5">
        <v>3.9410630000000002</v>
      </c>
      <c r="AI51" s="5">
        <v>5.0797843784664651E-3</v>
      </c>
      <c r="AJ51" s="52">
        <f t="shared" si="92"/>
        <v>153928670.48853439</v>
      </c>
      <c r="AK51" s="16">
        <f t="shared" si="93"/>
        <v>0.36703592078815478</v>
      </c>
      <c r="AL51" s="16">
        <f t="shared" si="94"/>
        <v>157.66642535109628</v>
      </c>
      <c r="AM51" s="16">
        <f t="shared" si="95"/>
        <v>0.60583489565074966</v>
      </c>
      <c r="AN51" s="16">
        <f t="shared" si="96"/>
        <v>1.6506147255282531</v>
      </c>
      <c r="AO51" s="16">
        <f t="shared" si="97"/>
        <v>44.731630162357163</v>
      </c>
      <c r="AP51" s="16">
        <f t="shared" si="98"/>
        <v>2.2355545647909925E-2</v>
      </c>
      <c r="AQ51" s="16">
        <f t="shared" si="99"/>
        <v>0.1495177101480287</v>
      </c>
      <c r="AR51" s="16">
        <f t="shared" si="100"/>
        <v>0.14951768323268572</v>
      </c>
      <c r="AS51" s="16">
        <f t="shared" si="101"/>
        <v>157.66639696886708</v>
      </c>
      <c r="AT51" s="16"/>
      <c r="AU51" s="16"/>
      <c r="AX51" s="73">
        <f t="shared" ref="AX51:AX52" si="103">BD22</f>
        <v>1.0153613699320072</v>
      </c>
      <c r="AY51" s="88">
        <f>W52</f>
        <v>145.44546970147286</v>
      </c>
      <c r="AZ51" s="88">
        <f>W53</f>
        <v>27.08726504029692</v>
      </c>
      <c r="BB51" s="74">
        <v>0.78</v>
      </c>
      <c r="BC51" s="74">
        <v>2.94</v>
      </c>
    </row>
    <row r="52" spans="1:55" s="39" customFormat="1" ht="15.75" x14ac:dyDescent="0.25">
      <c r="A52" s="39">
        <f>AVERAGE(A42:A51)</f>
        <v>1.7653809623952554</v>
      </c>
      <c r="B52" s="39">
        <f>AVERAGE(B42:B51)</f>
        <v>405.43435000000005</v>
      </c>
      <c r="H52" s="39">
        <f>AVERAGE(H42:H51)</f>
        <v>124.96026128540146</v>
      </c>
      <c r="O52" s="39">
        <f>AVERAGE(O42:O51)</f>
        <v>124.9602093693295</v>
      </c>
      <c r="P52" s="39">
        <f>AVERAGE(P42:P51)</f>
        <v>1.7675817975085928</v>
      </c>
      <c r="W52" s="39">
        <f>AVERAGE(W42:W51)</f>
        <v>145.44546970147286</v>
      </c>
      <c r="AD52" s="39">
        <f>AVERAGE(AD42:AD51)</f>
        <v>145.4454206443377</v>
      </c>
      <c r="AE52" s="39">
        <f>AVERAGE(AE42:AE51)</f>
        <v>1.2614444723525418</v>
      </c>
      <c r="AL52" s="39">
        <f>AVERAGE(AL42:AL51)</f>
        <v>211.48474478950598</v>
      </c>
      <c r="AS52" s="39">
        <f>AVERAGE(AS42:AS51)</f>
        <v>211.4846792315021</v>
      </c>
      <c r="AX52" s="73">
        <f t="shared" si="103"/>
        <v>1.3538151599093433</v>
      </c>
      <c r="AY52" s="88">
        <f>AL52</f>
        <v>211.48474478950598</v>
      </c>
      <c r="AZ52" s="88">
        <f>AL53</f>
        <v>58.485936396750134</v>
      </c>
      <c r="BB52" s="39">
        <v>0.4</v>
      </c>
      <c r="BC52" s="39">
        <v>2.36</v>
      </c>
    </row>
    <row r="53" spans="1:55" s="39" customFormat="1" x14ac:dyDescent="0.2">
      <c r="A53" s="39">
        <f>STDEV(A42:A51)</f>
        <v>0.817252284183551</v>
      </c>
      <c r="B53" s="39">
        <f>STDEV(B42:B51)</f>
        <v>187.68875142644021</v>
      </c>
      <c r="H53" s="39">
        <f>STDEV(H42:H51)</f>
        <v>37.505679843580275</v>
      </c>
      <c r="O53" s="39">
        <f>STDEV(O42:O51)</f>
        <v>37.505672060528511</v>
      </c>
      <c r="P53" s="39">
        <f>STDEV(P42:P51)</f>
        <v>0.8307451519871214</v>
      </c>
      <c r="W53" s="39">
        <f>STDEV(W42:W51)</f>
        <v>27.08726504029692</v>
      </c>
      <c r="AD53" s="39">
        <f>STDEV(AD42:AD51)</f>
        <v>27.087262799386068</v>
      </c>
      <c r="AE53" s="39">
        <f>STDEV(AE42:AE51)</f>
        <v>0.71106404296818537</v>
      </c>
      <c r="AL53" s="39">
        <f>STDEV(AL42:AL51)</f>
        <v>58.485936396750134</v>
      </c>
      <c r="AS53" s="39">
        <f>STDEV(AS42:AS51)</f>
        <v>58.4859463591985</v>
      </c>
    </row>
  </sheetData>
  <mergeCells count="19">
    <mergeCell ref="AY35:AZ35"/>
    <mergeCell ref="AY42:AZ42"/>
    <mergeCell ref="AY48:AZ48"/>
    <mergeCell ref="BB35:BC35"/>
    <mergeCell ref="BB42:BC42"/>
    <mergeCell ref="BB48:BC48"/>
    <mergeCell ref="B25:E25"/>
    <mergeCell ref="Q25:T25"/>
    <mergeCell ref="AF25:AI25"/>
    <mergeCell ref="B39:AI39"/>
    <mergeCell ref="B40:E40"/>
    <mergeCell ref="Q40:T40"/>
    <mergeCell ref="AF40:AI40"/>
    <mergeCell ref="B24:AI24"/>
    <mergeCell ref="B2:C2"/>
    <mergeCell ref="B9:AI9"/>
    <mergeCell ref="B10:E10"/>
    <mergeCell ref="Q10:T10"/>
    <mergeCell ref="AF10:AI10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89"/>
  <sheetViews>
    <sheetView workbookViewId="0">
      <selection activeCell="X3" sqref="X3"/>
    </sheetView>
  </sheetViews>
  <sheetFormatPr baseColWidth="10" defaultRowHeight="12.75" x14ac:dyDescent="0.2"/>
  <cols>
    <col min="1" max="4" width="11.42578125" style="21"/>
    <col min="5" max="5" width="12.42578125" style="21" bestFit="1" customWidth="1"/>
    <col min="6" max="6" width="11.85546875" style="21" bestFit="1" customWidth="1"/>
    <col min="7" max="7" width="16.28515625" style="21" customWidth="1"/>
    <col min="8" max="8" width="11.42578125" style="21"/>
    <col min="9" max="9" width="12" style="21" bestFit="1" customWidth="1"/>
    <col min="10" max="10" width="11.42578125" style="21"/>
    <col min="11" max="11" width="13" style="21" bestFit="1" customWidth="1"/>
    <col min="12" max="13" width="11.42578125" style="21"/>
    <col min="14" max="14" width="13.7109375" style="21" customWidth="1"/>
    <col min="15" max="18" width="11.42578125" style="21"/>
    <col min="19" max="21" width="12.42578125" style="21" bestFit="1" customWidth="1"/>
    <col min="22" max="23" width="11.42578125" style="21"/>
    <col min="24" max="24" width="12" style="21" bestFit="1" customWidth="1"/>
    <col min="25" max="30" width="11.42578125" style="21"/>
    <col min="31" max="31" width="17" style="21" customWidth="1"/>
    <col min="32" max="34" width="11.42578125" style="21"/>
    <col min="35" max="38" width="12.42578125" style="21" bestFit="1" customWidth="1"/>
    <col min="39" max="16384" width="11.42578125" style="21"/>
  </cols>
  <sheetData>
    <row r="1" spans="1:39" ht="25.5" x14ac:dyDescent="0.2">
      <c r="A1" s="60" t="s">
        <v>59</v>
      </c>
      <c r="B1" s="60"/>
      <c r="C1" s="60"/>
      <c r="D1" s="60"/>
      <c r="E1" s="60"/>
      <c r="F1" s="60"/>
      <c r="G1" s="60"/>
      <c r="H1" s="61" t="s">
        <v>60</v>
      </c>
      <c r="I1" s="61"/>
      <c r="J1" s="62"/>
      <c r="K1" s="62"/>
      <c r="L1" s="63" t="s">
        <v>61</v>
      </c>
      <c r="M1" s="63"/>
      <c r="N1" s="63"/>
      <c r="O1" s="63"/>
      <c r="T1" s="21" t="s">
        <v>1</v>
      </c>
      <c r="U1" s="21" t="s">
        <v>62</v>
      </c>
      <c r="V1" s="21" t="s">
        <v>3</v>
      </c>
      <c r="W1" s="21" t="s">
        <v>4</v>
      </c>
      <c r="X1" s="21" t="s">
        <v>5</v>
      </c>
      <c r="AA1" s="21" t="s">
        <v>63</v>
      </c>
      <c r="AB1" s="21" t="s">
        <v>64</v>
      </c>
      <c r="AC1" s="21" t="s">
        <v>65</v>
      </c>
      <c r="AE1" s="21" t="s">
        <v>117</v>
      </c>
      <c r="AF1" s="21" t="s">
        <v>111</v>
      </c>
      <c r="AG1" s="21" t="s">
        <v>112</v>
      </c>
      <c r="AH1" s="21" t="s">
        <v>113</v>
      </c>
      <c r="AI1" s="21" t="s">
        <v>115</v>
      </c>
      <c r="AJ1" s="21" t="s">
        <v>114</v>
      </c>
      <c r="AK1" s="21" t="s">
        <v>116</v>
      </c>
      <c r="AL1" s="21" t="s">
        <v>118</v>
      </c>
    </row>
    <row r="2" spans="1:39" x14ac:dyDescent="0.2">
      <c r="A2" s="22" t="s">
        <v>66</v>
      </c>
      <c r="B2" s="22" t="s">
        <v>67</v>
      </c>
      <c r="C2" s="22" t="s">
        <v>68</v>
      </c>
      <c r="D2" s="22" t="s">
        <v>69</v>
      </c>
      <c r="E2" s="22" t="s">
        <v>70</v>
      </c>
      <c r="F2" s="22" t="s">
        <v>71</v>
      </c>
      <c r="G2" s="22" t="s">
        <v>72</v>
      </c>
      <c r="H2" s="21" t="s">
        <v>64</v>
      </c>
      <c r="I2" s="21" t="s">
        <v>65</v>
      </c>
      <c r="J2" s="22" t="s">
        <v>73</v>
      </c>
      <c r="L2" s="21" t="s">
        <v>64</v>
      </c>
      <c r="M2" s="21" t="s">
        <v>65</v>
      </c>
      <c r="N2" s="22" t="s">
        <v>74</v>
      </c>
      <c r="O2" s="21" t="s">
        <v>75</v>
      </c>
      <c r="P2" s="21" t="s">
        <v>76</v>
      </c>
      <c r="Q2" s="22" t="s">
        <v>77</v>
      </c>
      <c r="R2" s="22" t="s">
        <v>78</v>
      </c>
      <c r="S2" s="22" t="s">
        <v>79</v>
      </c>
      <c r="T2" s="21">
        <v>1.1000000000000001</v>
      </c>
      <c r="U2" s="21">
        <v>9.8066499999999994</v>
      </c>
      <c r="V2" s="21">
        <v>0.1704</v>
      </c>
      <c r="W2" s="21">
        <v>2.2804946736114454E-2</v>
      </c>
      <c r="X2" s="21">
        <v>1.003E-6</v>
      </c>
    </row>
    <row r="3" spans="1:39" x14ac:dyDescent="0.2">
      <c r="A3" s="22" t="s">
        <v>80</v>
      </c>
      <c r="B3" s="22">
        <v>245.82078929298001</v>
      </c>
      <c r="C3" s="22">
        <v>2.994243019793942</v>
      </c>
      <c r="D3" s="22">
        <v>0.378535020600063</v>
      </c>
      <c r="E3" s="22">
        <v>0.34412274600005727</v>
      </c>
      <c r="F3" s="23">
        <v>392476.16197914432</v>
      </c>
      <c r="G3" s="22">
        <f>D3/10*2*U$2*V$2/(T$2*C3^2)</f>
        <v>1.2828017681423234E-2</v>
      </c>
      <c r="H3" s="24">
        <f>0.25/(LOG((ABS(J3/1000)/V$2/3.7)+(5.74/(F3^0.9))))^2</f>
        <v>1.4553276987038719E-2</v>
      </c>
      <c r="I3" s="24">
        <f>H3/V$2*(C3^2)/(2)</f>
        <v>0.38285586166290497</v>
      </c>
      <c r="J3" s="24">
        <f>3.7*V$2*((10^(-1/(2*G3^0.5)))-(2.54/(F3*G3^0.5)))*1000</f>
        <v>-1.1754934565138589E-2</v>
      </c>
      <c r="K3" s="21">
        <f>(((1/(10^(1/(G3^0.5))))^0.5)-2.51/(F3*G3^0.5))*3.7*V$2*1000</f>
        <v>-1.1329434618100485E-2</v>
      </c>
      <c r="L3" s="21">
        <f>0.25/(LOG((ABS(N3)/V$2/3.7)+(5.74/(F3^0.9))))^2</f>
        <v>1.3838966997560053E-2</v>
      </c>
      <c r="M3" s="21">
        <f>L3/V$2*(C3^2)/(2)</f>
        <v>0.36406437114432022</v>
      </c>
      <c r="N3" s="21">
        <v>1.9999999999999999E-6</v>
      </c>
      <c r="O3" s="21">
        <f>N3*1000</f>
        <v>2E-3</v>
      </c>
      <c r="P3" s="25">
        <f>B3*1000/3600</f>
        <v>68.283552581383333</v>
      </c>
      <c r="Q3" s="21">
        <f t="shared" ref="Q3:Q63" si="0">N3*1000</f>
        <v>2E-3</v>
      </c>
      <c r="R3" s="21">
        <f>J3/V$2</f>
        <v>-6.8984357776634905E-2</v>
      </c>
      <c r="S3" s="21">
        <f>Q3/(V$2*1000)</f>
        <v>1.1737089201877934E-5</v>
      </c>
      <c r="AA3" s="21">
        <v>1E-3</v>
      </c>
      <c r="AB3" s="21">
        <f>0.25/(LOG((ABS(AA3)/V$2/3.7)+(5.74/(F3^0.9))))^2</f>
        <v>3.222315472889925E-2</v>
      </c>
      <c r="AC3" s="21">
        <f>AB3/V$2*(C3^2)/(2)</f>
        <v>0.84770073985516248</v>
      </c>
      <c r="AF3" s="21">
        <f>G3^0.5</f>
        <v>0.11326083913437704</v>
      </c>
      <c r="AG3" s="21">
        <f>1/AF3</f>
        <v>8.829177036323749</v>
      </c>
      <c r="AH3" s="21">
        <f>10^AG3</f>
        <v>674803049.16378796</v>
      </c>
      <c r="AI3" s="21">
        <f>1/AH3</f>
        <v>1.4819138728540041E-9</v>
      </c>
      <c r="AJ3" s="21">
        <f>AI3^0.5</f>
        <v>3.849563446488451E-5</v>
      </c>
      <c r="AK3" s="21">
        <f>AJ3-(2.51/F3*AF3)</f>
        <v>3.7771298228019267E-5</v>
      </c>
      <c r="AL3" s="21">
        <f>AK3*3.7*V$2*1000</f>
        <v>2.3814048106801589E-2</v>
      </c>
    </row>
    <row r="4" spans="1:39" x14ac:dyDescent="0.2">
      <c r="A4" s="22" t="s">
        <v>80</v>
      </c>
      <c r="B4" s="22">
        <v>395.45157636017899</v>
      </c>
      <c r="C4" s="22">
        <v>4.8168347583155002</v>
      </c>
      <c r="D4" s="22">
        <v>0.89732416207585897</v>
      </c>
      <c r="E4" s="22">
        <v>0.81574923825078083</v>
      </c>
      <c r="F4" s="23">
        <v>631375.87908997014</v>
      </c>
      <c r="G4" s="22">
        <f t="shared" ref="G4:G63" si="1">D4/10*2*U$2*V$2/(T$2*C4^2)</f>
        <v>1.1750421417029283E-2</v>
      </c>
      <c r="H4" s="24">
        <f t="shared" ref="H4:H63" si="2">0.25/(LOG((ABS(J4/1000)/V$2/3.7)+(5.74/(F4^0.9))))^2</f>
        <v>1.3362778309451906E-2</v>
      </c>
      <c r="I4" s="24">
        <f>H4/V$2*(C4^2)/(2)</f>
        <v>0.90974708673094662</v>
      </c>
      <c r="J4" s="24">
        <f>3.7*V$2*((10^(-1/(2*G4^0.5)))-(2.54/(F4*G4^0.5)))*1000</f>
        <v>-8.0136069613083137E-3</v>
      </c>
      <c r="L4" s="21">
        <f>0.25/(LOG((ABS(N4)/V$2/3.7)+(5.74/(F4^0.9))))^2</f>
        <v>1.2778026139138782E-2</v>
      </c>
      <c r="M4" s="21">
        <f>L4/V$2*(C4^2)/(2)</f>
        <v>0.86993675903691625</v>
      </c>
      <c r="N4" s="21">
        <v>1.9999999999999999E-6</v>
      </c>
      <c r="O4" s="21">
        <f t="shared" ref="O4:O63" si="3">N4*1000</f>
        <v>2E-3</v>
      </c>
      <c r="P4" s="25">
        <f t="shared" ref="P4:P63" si="4">B4*1000/3600</f>
        <v>109.84766010004972</v>
      </c>
      <c r="Q4" s="21">
        <f t="shared" si="0"/>
        <v>2E-3</v>
      </c>
      <c r="R4" s="21">
        <f t="shared" ref="R4:R63" si="5">J4/V$2</f>
        <v>-4.7028209866832829E-2</v>
      </c>
      <c r="S4" s="21">
        <f t="shared" ref="S4:S63" si="6">Q4/(V$2*1000)</f>
        <v>1.1737089201877934E-5</v>
      </c>
      <c r="AA4" s="21">
        <v>1E-3</v>
      </c>
      <c r="AB4" s="21">
        <f t="shared" ref="AB4:AB63" si="7">0.25/(LOG((ABS(AA4)/V$2/3.7)+(5.74/(F4^0.9))))^2</f>
        <v>3.2109655405440023E-2</v>
      </c>
      <c r="AC4" s="21">
        <f t="shared" ref="AC4:AC63" si="8">AB4/V$2*(C4^2)/(2)</f>
        <v>2.1860473012839958</v>
      </c>
      <c r="AF4" s="21">
        <f t="shared" ref="AF4:AF63" si="9">G4^0.5</f>
        <v>0.10839936077777065</v>
      </c>
      <c r="AG4" s="21">
        <f>1/AF4</f>
        <v>9.2251466505425093</v>
      </c>
      <c r="AH4" s="21">
        <f>10^AG4</f>
        <v>1679371004.585393</v>
      </c>
      <c r="AI4" s="21">
        <f>1/AH4</f>
        <v>5.9546103706064782E-10</v>
      </c>
      <c r="AJ4" s="21">
        <f>AI4^0.5</f>
        <v>2.4402070343736161E-5</v>
      </c>
      <c r="AK4" s="21">
        <f>AJ4-(2.51/F4*AF4)</f>
        <v>2.3971134660947061E-5</v>
      </c>
      <c r="AL4" s="21">
        <f>AK4*3.7*V$2*1000</f>
        <v>1.5113320981033905E-2</v>
      </c>
    </row>
    <row r="5" spans="1:39" x14ac:dyDescent="0.2">
      <c r="A5" s="22" t="s">
        <v>80</v>
      </c>
      <c r="B5" s="22">
        <v>704.11057418514099</v>
      </c>
      <c r="C5" s="22">
        <v>8.5764844298999634</v>
      </c>
      <c r="D5" s="22">
        <v>2.7529930142777399</v>
      </c>
      <c r="E5" s="22">
        <v>2.5027209220706723</v>
      </c>
      <c r="F5" s="23">
        <v>1124179.1898884259</v>
      </c>
      <c r="G5" s="22">
        <f t="shared" si="1"/>
        <v>1.1371403726556355E-2</v>
      </c>
      <c r="H5" s="24">
        <f t="shared" si="2"/>
        <v>1.1453388725958323E-2</v>
      </c>
      <c r="I5" s="24">
        <f>H5/V$2*(C5^2)/(2)</f>
        <v>2.4720259292372462</v>
      </c>
      <c r="J5" s="24">
        <f>3.7*V$2*((10^(-1/(2*G5^0.5)))-(2.54/(F5*G5^0.5)))*1000</f>
        <v>-4.5068217986701537E-4</v>
      </c>
      <c r="L5" s="21">
        <f>0.25/(LOG((ABS(N5)/V$2/3.7)+(5.74/(F5^0.9))))^2</f>
        <v>1.1615423396815339E-2</v>
      </c>
      <c r="M5" s="21">
        <f>L5/V$2*(C5^2)/(2)</f>
        <v>2.5069984528612932</v>
      </c>
      <c r="N5" s="21">
        <v>1.5E-6</v>
      </c>
      <c r="O5" s="21">
        <f t="shared" si="3"/>
        <v>1.5E-3</v>
      </c>
      <c r="P5" s="25">
        <f t="shared" si="4"/>
        <v>195.58627060698362</v>
      </c>
      <c r="Q5" s="21">
        <f t="shared" si="0"/>
        <v>1.5E-3</v>
      </c>
      <c r="R5" s="21">
        <f t="shared" si="5"/>
        <v>-2.6448484733979775E-3</v>
      </c>
      <c r="S5" s="21">
        <f t="shared" si="6"/>
        <v>8.8028169014084512E-6</v>
      </c>
      <c r="AA5" s="21">
        <v>1E-3</v>
      </c>
      <c r="AB5" s="21">
        <f t="shared" si="7"/>
        <v>3.2023112457279443E-2</v>
      </c>
      <c r="AC5" s="21">
        <f t="shared" si="8"/>
        <v>6.9116631089155192</v>
      </c>
      <c r="AF5" s="21">
        <f t="shared" si="9"/>
        <v>0.10663678411578416</v>
      </c>
      <c r="AG5" s="21">
        <f>1/AF5</f>
        <v>9.3776271320618534</v>
      </c>
      <c r="AH5" s="21">
        <f>10^AG5</f>
        <v>2385762083.092082</v>
      </c>
      <c r="AI5" s="21">
        <f>1/AH5</f>
        <v>4.1915327898243051E-10</v>
      </c>
      <c r="AJ5" s="21">
        <f>AI5^0.5</f>
        <v>2.0473233232257931E-5</v>
      </c>
      <c r="AK5" s="21">
        <f>AJ5-(2.51/F5*AF5)</f>
        <v>2.023514100413442E-5</v>
      </c>
      <c r="AL5" s="21">
        <f>AK5*3.7*V$2*1000</f>
        <v>1.275785170028667E-2</v>
      </c>
    </row>
    <row r="6" spans="1:39" x14ac:dyDescent="0.2">
      <c r="A6" s="22" t="s">
        <v>80</v>
      </c>
      <c r="B6" s="22">
        <v>905.19135452713601</v>
      </c>
      <c r="C6" s="22">
        <v>11.025767603570628</v>
      </c>
      <c r="D6" s="22">
        <v>4.4091275812966302</v>
      </c>
      <c r="E6" s="22">
        <v>4.0082978011787542</v>
      </c>
      <c r="F6" s="23">
        <v>1445223.6920372576</v>
      </c>
      <c r="G6" s="22">
        <f t="shared" si="1"/>
        <v>1.1019517359890707E-2</v>
      </c>
      <c r="H6" s="24">
        <f t="shared" si="2"/>
        <v>1.09799166250431E-2</v>
      </c>
      <c r="I6" s="24">
        <f>H6/V$2*(C6^2)/(2)</f>
        <v>3.9166712940525787</v>
      </c>
      <c r="J6" s="24">
        <f>3.7*V$2*((10^(-1/(2*G6^0.5)))-(2.54/(F6*G6^0.5)))*1000</f>
        <v>3.2308762342289252E-4</v>
      </c>
      <c r="L6" s="21">
        <f>0.25/(LOG((ABS(N6)/V$2/3.7)+(5.74/(F6^0.9))))^2</f>
        <v>1.1174721891319902E-2</v>
      </c>
      <c r="M6" s="21">
        <f>L6/V$2*(C6^2)/(2)</f>
        <v>3.9861607282998657</v>
      </c>
      <c r="N6" s="21">
        <v>1.3999999999999999E-6</v>
      </c>
      <c r="O6" s="21">
        <f t="shared" si="3"/>
        <v>1.4E-3</v>
      </c>
      <c r="P6" s="25">
        <f t="shared" si="4"/>
        <v>251.44204292420443</v>
      </c>
      <c r="Q6" s="21">
        <f t="shared" si="0"/>
        <v>1.4E-3</v>
      </c>
      <c r="R6" s="21">
        <f t="shared" si="5"/>
        <v>1.8960541280686181E-3</v>
      </c>
      <c r="S6" s="21">
        <f t="shared" si="6"/>
        <v>8.2159624413145535E-6</v>
      </c>
      <c r="AA6" s="21">
        <v>1E-3</v>
      </c>
      <c r="AB6" s="21">
        <f t="shared" si="7"/>
        <v>3.1997308456509249E-2</v>
      </c>
      <c r="AC6" s="21">
        <f t="shared" si="8"/>
        <v>11.413833437743765</v>
      </c>
      <c r="AF6" s="21">
        <f t="shared" si="9"/>
        <v>0.10497388894334965</v>
      </c>
      <c r="AG6" s="21">
        <f>1/AF6</f>
        <v>9.5261784627190611</v>
      </c>
      <c r="AH6" s="21">
        <f>10^AG6</f>
        <v>3358756057.7256155</v>
      </c>
      <c r="AI6" s="21">
        <f>1/AH6</f>
        <v>2.9772927322300117E-10</v>
      </c>
      <c r="AJ6" s="21">
        <f>AI6^0.5</f>
        <v>1.7254833329331268E-5</v>
      </c>
      <c r="AK6" s="21">
        <f>AJ6-(2.51/F6*AF6)</f>
        <v>1.707251936457998E-5</v>
      </c>
      <c r="AL6" s="21">
        <f>AK6*3.7*V$2*1000</f>
        <v>1.0763882008980385E-2</v>
      </c>
    </row>
    <row r="7" spans="1:39" x14ac:dyDescent="0.2">
      <c r="A7" s="22" t="s">
        <v>80</v>
      </c>
      <c r="B7" s="22">
        <v>1124.36940509991</v>
      </c>
      <c r="C7" s="22">
        <v>13.695486262871642</v>
      </c>
      <c r="D7" s="22">
        <v>6.6131129047407402</v>
      </c>
      <c r="E7" s="22">
        <v>6.0119208224915814</v>
      </c>
      <c r="F7" s="23">
        <v>1795162.1993794828</v>
      </c>
      <c r="G7" s="22">
        <f t="shared" si="1"/>
        <v>1.0712198228220225E-2</v>
      </c>
      <c r="H7" s="24">
        <f t="shared" si="2"/>
        <v>1.0689356982699769E-2</v>
      </c>
      <c r="I7" s="24">
        <f>H7/V$2*(C7^2)/(2)</f>
        <v>5.8831091804716236</v>
      </c>
      <c r="J7" s="24">
        <f>3.7*V$2*((10^(-1/(2*G7^0.5)))-(2.54/(F7*G7^0.5)))*1000</f>
        <v>6.8644167202202742E-4</v>
      </c>
      <c r="L7" s="21">
        <f>0.25/(LOG((ABS(N7)/V$2/3.7)+(5.74/(F7^0.9))))^2</f>
        <v>1.0814450465747137E-2</v>
      </c>
      <c r="M7" s="21">
        <f>L7/V$2*(C7^2)/(2)</f>
        <v>5.951956971758249</v>
      </c>
      <c r="N7" s="21">
        <v>1.3E-6</v>
      </c>
      <c r="O7" s="21">
        <f t="shared" si="3"/>
        <v>1.2999999999999999E-3</v>
      </c>
      <c r="P7" s="25">
        <f t="shared" si="4"/>
        <v>312.32483474997497</v>
      </c>
      <c r="Q7" s="21">
        <f t="shared" si="0"/>
        <v>1.2999999999999999E-3</v>
      </c>
      <c r="R7" s="21">
        <f t="shared" si="5"/>
        <v>4.0284135682043861E-3</v>
      </c>
      <c r="S7" s="21">
        <f t="shared" si="6"/>
        <v>7.6291079812206567E-6</v>
      </c>
      <c r="AA7" s="21">
        <v>1E-3</v>
      </c>
      <c r="AB7" s="21">
        <f t="shared" si="7"/>
        <v>3.1979254377369509E-2</v>
      </c>
      <c r="AC7" s="21">
        <f t="shared" si="8"/>
        <v>17.60044550075666</v>
      </c>
      <c r="AF7" s="21">
        <f t="shared" si="9"/>
        <v>0.1034997498944815</v>
      </c>
      <c r="AG7" s="21">
        <f>1/AF7</f>
        <v>9.661859096466463</v>
      </c>
      <c r="AH7" s="21">
        <f>10^AG7</f>
        <v>4590490537.0822306</v>
      </c>
      <c r="AI7" s="21">
        <f>1/AH7</f>
        <v>2.1784164283140244E-10</v>
      </c>
      <c r="AJ7" s="21">
        <f>AI7^0.5</f>
        <v>1.4759459435609505E-5</v>
      </c>
      <c r="AK7" s="21">
        <f>AJ7-(2.51/F7*AF7)</f>
        <v>1.4614745842417232E-5</v>
      </c>
      <c r="AL7" s="21">
        <f>AK7*3.7*V$2*1000</f>
        <v>9.214304958727217E-3</v>
      </c>
    </row>
    <row r="8" spans="1:39" x14ac:dyDescent="0.2">
      <c r="A8" s="22"/>
      <c r="B8" s="22"/>
      <c r="C8" s="22"/>
      <c r="D8" s="22"/>
      <c r="E8" s="22"/>
      <c r="F8" s="23"/>
      <c r="G8" s="22"/>
      <c r="H8" s="24"/>
      <c r="I8" s="24"/>
      <c r="J8" s="24"/>
      <c r="K8" s="26">
        <f>AVERAGE(J3:J7)</f>
        <v>-3.8419388821737989E-3</v>
      </c>
      <c r="N8" s="26"/>
      <c r="P8" s="27">
        <f>AVERAGE(O3:O7)</f>
        <v>1.6399999999999997E-3</v>
      </c>
      <c r="Q8" s="21">
        <f>STDEV(O3:O7)</f>
        <v>3.3615472627943223E-4</v>
      </c>
      <c r="T8" s="26">
        <f>AVERAGE(S3:S7)</f>
        <v>9.6244131455399058E-6</v>
      </c>
      <c r="U8" s="26">
        <f>STDEV(S3:S7)</f>
        <v>1.9727390039872786E-6</v>
      </c>
      <c r="V8" s="26"/>
      <c r="W8" s="26"/>
      <c r="X8" s="26"/>
      <c r="Y8" s="26"/>
      <c r="Z8" s="26"/>
      <c r="AA8" s="28"/>
      <c r="AD8" s="26"/>
      <c r="AE8" s="29"/>
      <c r="AL8" s="21" t="s">
        <v>119</v>
      </c>
      <c r="AM8" s="21">
        <f>AVERAGE(AL3:AL7)</f>
        <v>1.4332681551165951E-2</v>
      </c>
    </row>
    <row r="9" spans="1:39" x14ac:dyDescent="0.2">
      <c r="A9" s="22"/>
      <c r="B9" s="22"/>
      <c r="C9" s="22"/>
      <c r="D9" s="22"/>
      <c r="E9" s="22"/>
      <c r="F9" s="23"/>
      <c r="G9" s="22"/>
      <c r="H9" s="24"/>
      <c r="I9" s="24"/>
      <c r="J9" s="24"/>
      <c r="K9" s="21">
        <f>STDEV(J3:J7)</f>
        <v>5.687104129035528E-3</v>
      </c>
      <c r="P9" s="25"/>
      <c r="AL9" s="21" t="s">
        <v>120</v>
      </c>
      <c r="AM9" s="21">
        <f>STDEV(AL3:AL7)</f>
        <v>5.7428196004954708E-3</v>
      </c>
    </row>
    <row r="10" spans="1:39" x14ac:dyDescent="0.2">
      <c r="A10" s="22"/>
      <c r="B10" s="22"/>
      <c r="C10" s="22"/>
      <c r="D10" s="22"/>
      <c r="E10" s="22"/>
      <c r="F10" s="23"/>
      <c r="G10" s="22"/>
      <c r="H10" s="24"/>
      <c r="I10" s="24"/>
      <c r="J10" s="24"/>
      <c r="P10" s="25"/>
    </row>
    <row r="11" spans="1:39" x14ac:dyDescent="0.2">
      <c r="A11" s="22" t="s">
        <v>81</v>
      </c>
      <c r="B11" s="22">
        <v>209.85867691863001</v>
      </c>
      <c r="C11" s="22">
        <v>2.5562031604978839</v>
      </c>
      <c r="D11" s="22">
        <v>1.3511873031797501</v>
      </c>
      <c r="E11" s="22">
        <v>1.2283520937997727</v>
      </c>
      <c r="F11" s="23">
        <v>335059.24503756873</v>
      </c>
      <c r="G11" s="22">
        <f t="shared" si="1"/>
        <v>6.2827878785084168E-2</v>
      </c>
      <c r="H11" s="24">
        <f t="shared" si="2"/>
        <v>6.2911338684159129E-2</v>
      </c>
      <c r="I11" s="24">
        <f>H11/V$2*(C11^2)/(2)</f>
        <v>1.2062020866778485</v>
      </c>
      <c r="J11" s="24">
        <f>3.7*V$2*((10^(-1/(2*G11^0.5)))-(2.54/(F11*G11^0.5)))*1000</f>
        <v>6.3620506185438161</v>
      </c>
      <c r="L11" s="21">
        <f>0.25/(LOG((ABS(N11)/V$2/3.7)+(5.74/(F11^0.9))))^2</f>
        <v>6.1345071176350428E-2</v>
      </c>
      <c r="M11" s="21">
        <f>L11/V$2*(C11^2)/(2)</f>
        <v>1.1761719653081648</v>
      </c>
      <c r="N11" s="21">
        <v>6.0000000000000001E-3</v>
      </c>
      <c r="O11" s="21">
        <f t="shared" si="3"/>
        <v>6</v>
      </c>
      <c r="P11" s="25">
        <f t="shared" si="4"/>
        <v>58.294076921841672</v>
      </c>
      <c r="Q11" s="21">
        <f t="shared" si="0"/>
        <v>6</v>
      </c>
      <c r="R11" s="21">
        <f t="shared" si="5"/>
        <v>37.335977808355729</v>
      </c>
      <c r="S11" s="21">
        <f t="shared" si="6"/>
        <v>3.5211267605633804E-2</v>
      </c>
      <c r="AA11" s="21">
        <v>7.0000000000000001E-3</v>
      </c>
      <c r="AB11" s="21">
        <f t="shared" si="7"/>
        <v>6.5598899963127844E-2</v>
      </c>
      <c r="AC11" s="21">
        <f t="shared" si="8"/>
        <v>1.2577308268154814</v>
      </c>
      <c r="AF11" s="21">
        <f t="shared" si="9"/>
        <v>0.25065489978271754</v>
      </c>
      <c r="AG11" s="21">
        <f>1/AF11</f>
        <v>3.9895489809569211</v>
      </c>
      <c r="AH11" s="21">
        <f>10^AG11</f>
        <v>9762.2287739196508</v>
      </c>
      <c r="AI11" s="21">
        <f>1/AH11</f>
        <v>1.0243562440080864E-4</v>
      </c>
      <c r="AJ11" s="21">
        <f>AI11^0.5</f>
        <v>1.0121048582079262E-2</v>
      </c>
      <c r="AK11" s="21">
        <f>AJ11-(2.51/F11*AF11)</f>
        <v>1.0119170872964314E-2</v>
      </c>
      <c r="AL11" s="21">
        <f>AK11*3.7*V$2*1000</f>
        <v>6.3799348519865404</v>
      </c>
    </row>
    <row r="12" spans="1:39" x14ac:dyDescent="0.2">
      <c r="A12" s="22" t="s">
        <v>81</v>
      </c>
      <c r="B12" s="22">
        <v>401.48399977043903</v>
      </c>
      <c r="C12" s="22">
        <v>4.8903132535256226</v>
      </c>
      <c r="D12" s="22">
        <v>2.6174467261195402</v>
      </c>
      <c r="E12" s="22">
        <v>2.3794970237450364</v>
      </c>
      <c r="F12" s="23">
        <v>641007.21415443532</v>
      </c>
      <c r="G12" s="22">
        <f t="shared" si="1"/>
        <v>3.3253094711721123E-2</v>
      </c>
      <c r="H12" s="24">
        <f t="shared" si="2"/>
        <v>3.3324883597755914E-2</v>
      </c>
      <c r="I12" s="24">
        <f>H12/V$2*(C12^2)/(2)</f>
        <v>2.3385271335404174</v>
      </c>
      <c r="J12" s="24">
        <f>3.7*V$2*((10^(-1/(2*G12^0.5)))-(2.54/(F12*G12^0.5)))*1000</f>
        <v>1.1285373588793213</v>
      </c>
      <c r="L12" s="21">
        <f>0.25/(LOG((ABS(N12)/V$2/3.7)+(5.74/(F12^0.9))))^2</f>
        <v>3.3319945001187984E-2</v>
      </c>
      <c r="M12" s="21">
        <f>L12/V$2*(C12^2)/(2)</f>
        <v>2.3381805744281601</v>
      </c>
      <c r="N12" s="21">
        <v>1.1280000000000001E-3</v>
      </c>
      <c r="O12" s="21">
        <f t="shared" si="3"/>
        <v>1.1280000000000001</v>
      </c>
      <c r="P12" s="25">
        <f t="shared" si="4"/>
        <v>111.52333326956641</v>
      </c>
      <c r="Q12" s="21">
        <f t="shared" si="0"/>
        <v>1.1280000000000001</v>
      </c>
      <c r="R12" s="21">
        <f t="shared" si="5"/>
        <v>6.6228718244091622</v>
      </c>
      <c r="S12" s="21">
        <f t="shared" si="6"/>
        <v>6.619718309859155E-3</v>
      </c>
      <c r="AA12" s="21">
        <v>7.0000000000000001E-3</v>
      </c>
      <c r="AB12" s="21">
        <f t="shared" si="7"/>
        <v>6.5528181716740269E-2</v>
      </c>
      <c r="AC12" s="21">
        <f t="shared" si="8"/>
        <v>4.5983485735711103</v>
      </c>
      <c r="AF12" s="21">
        <f t="shared" si="9"/>
        <v>0.18235431092168106</v>
      </c>
      <c r="AG12" s="21">
        <f>1/AF12</f>
        <v>5.4838297759217101</v>
      </c>
      <c r="AH12" s="21">
        <f>10^AG12</f>
        <v>304670.05847435747</v>
      </c>
      <c r="AI12" s="21">
        <f>1/AH12</f>
        <v>3.2822391704899511E-6</v>
      </c>
      <c r="AJ12" s="21">
        <f>AI12^0.5</f>
        <v>1.8116951096942197E-3</v>
      </c>
      <c r="AK12" s="21">
        <f>AJ12-(2.51/F12*AF12)</f>
        <v>1.8109810626284356E-3</v>
      </c>
      <c r="AL12" s="21">
        <f>AK12*3.7*V$2*1000</f>
        <v>1.1417873403659762</v>
      </c>
    </row>
    <row r="13" spans="1:39" x14ac:dyDescent="0.2">
      <c r="A13" s="22" t="s">
        <v>81</v>
      </c>
      <c r="B13" s="22">
        <v>696.06734297146204</v>
      </c>
      <c r="C13" s="22">
        <v>8.4785131029531478</v>
      </c>
      <c r="D13" s="22">
        <v>5.6000842877922103</v>
      </c>
      <c r="E13" s="22">
        <v>5.0909857161747363</v>
      </c>
      <c r="F13" s="23">
        <v>1111337.4098024741</v>
      </c>
      <c r="G13" s="22">
        <f t="shared" si="1"/>
        <v>2.3669154736580163E-2</v>
      </c>
      <c r="H13" s="24">
        <f t="shared" si="2"/>
        <v>2.3735584826705687E-2</v>
      </c>
      <c r="I13" s="24">
        <f>H13/V$2*(C13^2)/(2)</f>
        <v>5.0065636531296001</v>
      </c>
      <c r="J13" s="24">
        <f>3.7*V$2*((10^(-1/(2*G13^0.5)))-(2.54/(F13*G13^0.5)))*1000</f>
        <v>0.34520757025085186</v>
      </c>
      <c r="L13" s="21">
        <f>0.25/(LOG((ABS(N13)/V$2/3.7)+(5.74/(F13^0.9))))^2</f>
        <v>2.3735450612219915E-2</v>
      </c>
      <c r="M13" s="21">
        <f>L13/V$2*(C13^2)/(2)</f>
        <v>5.006535343173427</v>
      </c>
      <c r="N13" s="21">
        <v>3.4519999999999999E-4</v>
      </c>
      <c r="O13" s="21">
        <f t="shared" si="3"/>
        <v>0.34520000000000001</v>
      </c>
      <c r="P13" s="25">
        <f t="shared" si="4"/>
        <v>193.35203971429502</v>
      </c>
      <c r="Q13" s="21">
        <f t="shared" si="0"/>
        <v>0.34520000000000001</v>
      </c>
      <c r="R13" s="21">
        <f t="shared" si="5"/>
        <v>2.0258660225988958</v>
      </c>
      <c r="S13" s="21">
        <f t="shared" si="6"/>
        <v>2.0258215962441315E-3</v>
      </c>
      <c r="AA13" s="21">
        <v>7.0000000000000001E-3</v>
      </c>
      <c r="AB13" s="21">
        <f t="shared" si="7"/>
        <v>6.5493326965454859E-2</v>
      </c>
      <c r="AC13" s="21">
        <f t="shared" si="8"/>
        <v>13.814553662855271</v>
      </c>
      <c r="AF13" s="21">
        <f t="shared" si="9"/>
        <v>0.15384782980783371</v>
      </c>
      <c r="AG13" s="21">
        <f>1/AF13</f>
        <v>6.4999291913903976</v>
      </c>
      <c r="AH13" s="21">
        <f>10^AG13</f>
        <v>3161762.1154386569</v>
      </c>
      <c r="AI13" s="21">
        <f>1/AH13</f>
        <v>3.1627932889608359E-7</v>
      </c>
      <c r="AJ13" s="21">
        <f>AI13^0.5</f>
        <v>5.6238716992485134E-4</v>
      </c>
      <c r="AK13" s="21">
        <f>AJ13-(2.51/F13*AF13)</f>
        <v>5.6203969844642219E-4</v>
      </c>
      <c r="AL13" s="21">
        <f>AK13*3.7*V$2*1000</f>
        <v>0.35435478907650031</v>
      </c>
    </row>
    <row r="14" spans="1:39" x14ac:dyDescent="0.2">
      <c r="A14" s="22" t="s">
        <v>81</v>
      </c>
      <c r="B14" s="22">
        <v>1008.74795640326</v>
      </c>
      <c r="C14" s="22">
        <v>12.287148438010977</v>
      </c>
      <c r="D14" s="22">
        <v>12.5230888114975</v>
      </c>
      <c r="E14" s="22">
        <v>11.384626192270453</v>
      </c>
      <c r="F14" s="23">
        <v>1610561.6106439002</v>
      </c>
      <c r="G14" s="22">
        <f t="shared" si="1"/>
        <v>2.5202105614057953E-2</v>
      </c>
      <c r="H14" s="24">
        <f t="shared" si="2"/>
        <v>2.5250522895402749E-2</v>
      </c>
      <c r="I14" s="24">
        <f>H14/V$2*(C14^2)/(2)</f>
        <v>11.185953246028772</v>
      </c>
      <c r="J14" s="24">
        <f>3.7*V$2*((10^(-1/(2*G14^0.5)))-(2.54/(F14*G14^0.5)))*1000</f>
        <v>0.44052199219326077</v>
      </c>
      <c r="L14" s="21">
        <f>0.25/(LOG((ABS(N14)/V$2/3.7)+(5.74/(F14^0.9))))^2</f>
        <v>2.5250492030715582E-2</v>
      </c>
      <c r="M14" s="21">
        <f>L14/V$2*(C14^2)/(2)</f>
        <v>11.185939573007067</v>
      </c>
      <c r="N14" s="21">
        <v>4.4052000000000002E-4</v>
      </c>
      <c r="O14" s="21">
        <f t="shared" si="3"/>
        <v>0.44052000000000002</v>
      </c>
      <c r="P14" s="25">
        <f t="shared" si="4"/>
        <v>280.20776566757223</v>
      </c>
      <c r="Q14" s="21">
        <f t="shared" si="0"/>
        <v>0.44052000000000002</v>
      </c>
      <c r="R14" s="21">
        <f t="shared" si="5"/>
        <v>2.5852229588806384</v>
      </c>
      <c r="S14" s="21">
        <f t="shared" si="6"/>
        <v>2.5852112676056339E-3</v>
      </c>
      <c r="AA14" s="21">
        <v>7.0000000000000001E-3</v>
      </c>
      <c r="AB14" s="21">
        <f t="shared" si="7"/>
        <v>6.5477883844809237E-2</v>
      </c>
      <c r="AC14" s="21">
        <f t="shared" si="8"/>
        <v>29.006628907090455</v>
      </c>
      <c r="AF14" s="21">
        <f t="shared" si="9"/>
        <v>0.15875171058624205</v>
      </c>
      <c r="AG14" s="21">
        <f>1/AF14</f>
        <v>6.2991447229587418</v>
      </c>
      <c r="AH14" s="21">
        <f>10^AG14</f>
        <v>1991336.8153954349</v>
      </c>
      <c r="AI14" s="21">
        <f>1/AH14</f>
        <v>5.0217521831002881E-7</v>
      </c>
      <c r="AJ14" s="21">
        <f>AI14^0.5</f>
        <v>7.0864322356883425E-4</v>
      </c>
      <c r="AK14" s="21">
        <f>AJ14-(2.51/F14*AF14)</f>
        <v>7.0839581496866765E-4</v>
      </c>
      <c r="AL14" s="21">
        <f>AK14*3.7*V$2*1000</f>
        <v>0.44662939342144559</v>
      </c>
    </row>
    <row r="15" spans="1:39" x14ac:dyDescent="0.2">
      <c r="A15" s="22" t="s">
        <v>81</v>
      </c>
      <c r="B15" s="22">
        <v>1381.75280393767</v>
      </c>
      <c r="C15" s="22">
        <v>16.830568725170171</v>
      </c>
      <c r="D15" s="22">
        <v>22.885503244939201</v>
      </c>
      <c r="E15" s="22">
        <v>20.805002949944726</v>
      </c>
      <c r="F15" s="23">
        <v>2206099.1621299977</v>
      </c>
      <c r="G15" s="22">
        <f t="shared" si="1"/>
        <v>2.454654996018666E-2</v>
      </c>
      <c r="H15" s="24">
        <f t="shared" si="2"/>
        <v>2.4586569148166527E-2</v>
      </c>
      <c r="I15" s="24">
        <f>H15/V$2*(C15^2)/(2)</f>
        <v>20.436001589638838</v>
      </c>
      <c r="J15" s="24">
        <f>3.7*V$2*((10^(-1/(2*G15^0.5)))-(2.54/(F15*G15^0.5)))*1000</f>
        <v>0.40117310514006593</v>
      </c>
      <c r="L15" s="21">
        <f>0.25/(LOG((ABS(N15)/V$2/3.7)+(5.74/(F15^0.9))))^2</f>
        <v>2.4586518208485449E-2</v>
      </c>
      <c r="M15" s="21">
        <f>L15/V$2*(C15^2)/(2)</f>
        <v>20.435959249310788</v>
      </c>
      <c r="N15" s="21">
        <v>4.0117000000000001E-4</v>
      </c>
      <c r="O15" s="21">
        <f t="shared" si="3"/>
        <v>0.40117000000000003</v>
      </c>
      <c r="P15" s="25">
        <f t="shared" si="4"/>
        <v>383.82022331601945</v>
      </c>
      <c r="Q15" s="21">
        <f t="shared" si="0"/>
        <v>0.40117000000000003</v>
      </c>
      <c r="R15" s="21">
        <f t="shared" si="5"/>
        <v>2.3543022602116546</v>
      </c>
      <c r="S15" s="21">
        <f t="shared" si="6"/>
        <v>2.3542840375586857E-3</v>
      </c>
      <c r="AA15" s="21">
        <v>7.0000000000000001E-3</v>
      </c>
      <c r="AB15" s="21">
        <f t="shared" si="7"/>
        <v>6.5468275398975803E-2</v>
      </c>
      <c r="AC15" s="21">
        <f t="shared" si="8"/>
        <v>54.416286065034562</v>
      </c>
      <c r="AF15" s="21">
        <f t="shared" si="9"/>
        <v>0.15667338625365401</v>
      </c>
      <c r="AG15" s="21">
        <f>1/AF15</f>
        <v>6.382704962928428</v>
      </c>
      <c r="AH15" s="21">
        <f>10^AG15</f>
        <v>2413820.4533055206</v>
      </c>
      <c r="AI15" s="21">
        <f>1/AH15</f>
        <v>4.1428102021034149E-7</v>
      </c>
      <c r="AJ15" s="21">
        <f>AI15^0.5</f>
        <v>6.4364665788796069E-4</v>
      </c>
      <c r="AK15" s="21">
        <f>AJ15-(2.51/F15*AF15)</f>
        <v>6.4346840198439695E-4</v>
      </c>
      <c r="AL15" s="21">
        <f>AK15*3.7*V$2*1000</f>
        <v>0.40569395808312264</v>
      </c>
    </row>
    <row r="16" spans="1:39" x14ac:dyDescent="0.2">
      <c r="A16" s="22"/>
      <c r="B16" s="22"/>
      <c r="C16" s="22"/>
      <c r="D16" s="22"/>
      <c r="E16" s="22"/>
      <c r="F16" s="23"/>
      <c r="G16" s="22"/>
      <c r="H16" s="24"/>
      <c r="I16" s="24"/>
      <c r="J16" s="24"/>
      <c r="K16" s="21">
        <f>AVERAGE(J11:J15)</f>
        <v>1.7354981290014631</v>
      </c>
      <c r="P16" s="30">
        <f>AVERAGE(O11:O15)</f>
        <v>1.6629780000000001</v>
      </c>
      <c r="Q16" s="21">
        <f>STDEV(O11:O15)</f>
        <v>2.4453559626810981</v>
      </c>
      <c r="T16" s="21">
        <f>AVERAGE(S11:S15)</f>
        <v>9.7592605633802822E-3</v>
      </c>
      <c r="Y16" s="64"/>
      <c r="Z16" s="64"/>
      <c r="AL16" s="21" t="s">
        <v>119</v>
      </c>
      <c r="AM16" s="21">
        <f>AVERAGE(AL11:AL15)</f>
        <v>1.7456800665867171</v>
      </c>
    </row>
    <row r="17" spans="1:39" x14ac:dyDescent="0.2">
      <c r="A17" s="22"/>
      <c r="B17" s="22"/>
      <c r="C17" s="22"/>
      <c r="D17" s="22"/>
      <c r="E17" s="22"/>
      <c r="F17" s="23"/>
      <c r="G17" s="22"/>
      <c r="H17" s="24"/>
      <c r="I17" s="24"/>
      <c r="J17" s="24"/>
      <c r="K17" s="21">
        <f>STDEV(J11:J15)</f>
        <v>2.6059395434715245</v>
      </c>
      <c r="P17" s="25"/>
      <c r="AL17" s="21" t="s">
        <v>120</v>
      </c>
      <c r="AM17" s="21">
        <f>STDEV(AL11:AL15)</f>
        <v>2.6105500038811797</v>
      </c>
    </row>
    <row r="18" spans="1:39" x14ac:dyDescent="0.2">
      <c r="A18" s="22"/>
      <c r="B18" s="22"/>
      <c r="C18" s="22"/>
      <c r="D18" s="22"/>
      <c r="E18" s="22"/>
      <c r="F18" s="23"/>
      <c r="G18" s="22"/>
      <c r="H18" s="24"/>
      <c r="I18" s="24"/>
      <c r="J18" s="24"/>
      <c r="P18" s="25"/>
      <c r="Y18" s="64"/>
      <c r="Z18" s="64"/>
    </row>
    <row r="19" spans="1:39" x14ac:dyDescent="0.2">
      <c r="A19" s="22" t="s">
        <v>82</v>
      </c>
      <c r="B19" s="22">
        <v>207.86078178672099</v>
      </c>
      <c r="C19" s="22">
        <v>2.5318676127592057</v>
      </c>
      <c r="D19" s="22">
        <v>2.3162958720581499</v>
      </c>
      <c r="E19" s="22">
        <v>2.1057235200528632</v>
      </c>
      <c r="F19" s="23">
        <v>331869.41631859122</v>
      </c>
      <c r="G19" s="22">
        <f t="shared" si="1"/>
        <v>0.10978414474931389</v>
      </c>
      <c r="H19" s="24">
        <f t="shared" si="2"/>
        <v>0.10986282425764174</v>
      </c>
      <c r="I19" s="24">
        <f>H19/V$2*(C19^2)/(2)</f>
        <v>2.066489295552405</v>
      </c>
      <c r="J19" s="24">
        <f>3.7*V$2*((10^(-1/(2*G19^0.5)))-(2.54/(F19*G19^0.5)))*1000</f>
        <v>19.512334367158797</v>
      </c>
      <c r="L19" s="21">
        <f>0.25/(LOG((ABS(N19)/V$2/3.7)+(5.74/(F19^0.9))))^2</f>
        <v>0.10986174239816897</v>
      </c>
      <c r="M19" s="21">
        <f>L19/V$2*(C19^2)/(2)</f>
        <v>2.0664689460753651</v>
      </c>
      <c r="N19" s="21">
        <v>1.9512000000000002E-2</v>
      </c>
      <c r="O19" s="21">
        <f t="shared" si="3"/>
        <v>19.512</v>
      </c>
      <c r="P19" s="25">
        <f t="shared" si="4"/>
        <v>57.739106051866941</v>
      </c>
      <c r="Q19" s="21">
        <f t="shared" si="0"/>
        <v>19.512</v>
      </c>
      <c r="R19" s="21">
        <f t="shared" si="5"/>
        <v>114.50900450210561</v>
      </c>
      <c r="S19" s="21">
        <f t="shared" si="6"/>
        <v>0.11450704225352112</v>
      </c>
      <c r="AA19" s="21">
        <v>0.05</v>
      </c>
      <c r="AB19" s="21">
        <f t="shared" si="7"/>
        <v>0.20647499466719466</v>
      </c>
      <c r="AC19" s="21">
        <f t="shared" si="8"/>
        <v>3.8837374622591607</v>
      </c>
      <c r="AF19" s="21">
        <f t="shared" si="9"/>
        <v>0.33133690520271641</v>
      </c>
      <c r="AG19" s="21">
        <f>1/AF19</f>
        <v>3.0180761161760308</v>
      </c>
      <c r="AH19" s="21">
        <f>10^AG19</f>
        <v>1042.5001260959477</v>
      </c>
      <c r="AI19" s="21">
        <f>1/AH19</f>
        <v>9.5923249788457468E-4</v>
      </c>
      <c r="AJ19" s="21">
        <f>AI19^0.5</f>
        <v>3.0971478781042644E-2</v>
      </c>
      <c r="AK19" s="21">
        <f>AJ19-(2.51/F19*AF19)</f>
        <v>3.0968972808539108E-2</v>
      </c>
      <c r="AL19" s="21">
        <f>AK19*3.7*V$2*1000</f>
        <v>19.525317976327738</v>
      </c>
    </row>
    <row r="20" spans="1:39" x14ac:dyDescent="0.2">
      <c r="A20" s="22" t="s">
        <v>82</v>
      </c>
      <c r="B20" s="22">
        <v>400.47859586872897</v>
      </c>
      <c r="C20" s="22">
        <v>4.8780668376572685</v>
      </c>
      <c r="D20" s="22">
        <v>5.7748816117778201</v>
      </c>
      <c r="E20" s="22">
        <v>5.2498923743434727</v>
      </c>
      <c r="F20" s="23">
        <v>639401.99164369109</v>
      </c>
      <c r="G20" s="22">
        <f t="shared" si="1"/>
        <v>7.3735251981898189E-2</v>
      </c>
      <c r="H20" s="24">
        <f t="shared" si="2"/>
        <v>7.3782422264290451E-2</v>
      </c>
      <c r="I20" s="24">
        <f>H20/V$2*(C20^2)/(2)</f>
        <v>5.1516792562134235</v>
      </c>
      <c r="J20" s="24">
        <f>3.7*V$2*((10^(-1/(2*G20^0.5)))-(2.54/(F20*G20^0.5)))*1000</f>
        <v>9.0760491115794117</v>
      </c>
      <c r="L20" s="21">
        <f>0.25/(LOG((ABS(N20)/V$2/3.7)+(5.74/(F20^0.9))))^2</f>
        <v>7.3782234319082179E-2</v>
      </c>
      <c r="M20" s="21">
        <f>L20/V$2*(C20^2)/(2)</f>
        <v>5.1516661333936371</v>
      </c>
      <c r="N20" s="21">
        <v>9.0760000000000007E-3</v>
      </c>
      <c r="O20" s="21">
        <f t="shared" si="3"/>
        <v>9.0760000000000005</v>
      </c>
      <c r="P20" s="25">
        <f t="shared" si="4"/>
        <v>111.24405440798027</v>
      </c>
      <c r="Q20" s="21">
        <f t="shared" si="0"/>
        <v>9.0760000000000005</v>
      </c>
      <c r="R20" s="21">
        <f t="shared" si="5"/>
        <v>53.263199011616265</v>
      </c>
      <c r="S20" s="21">
        <f t="shared" si="6"/>
        <v>5.3262910798122065E-2</v>
      </c>
      <c r="AA20" s="21">
        <v>0.05</v>
      </c>
      <c r="AB20" s="21">
        <f t="shared" si="7"/>
        <v>0.20641854418576089</v>
      </c>
      <c r="AC20" s="21">
        <f t="shared" si="8"/>
        <v>14.412675804684559</v>
      </c>
      <c r="AF20" s="21">
        <f t="shared" si="9"/>
        <v>0.27154235762012929</v>
      </c>
      <c r="AG20" s="21">
        <f>1/AF20</f>
        <v>3.6826667071917272</v>
      </c>
      <c r="AH20" s="21">
        <f>10^AG20</f>
        <v>4815.7807587888919</v>
      </c>
      <c r="AI20" s="21">
        <f>1/AH20</f>
        <v>2.0765064899912249E-4</v>
      </c>
      <c r="AJ20" s="21">
        <f>AI20^0.5</f>
        <v>1.4410088445222066E-2</v>
      </c>
      <c r="AK20" s="21">
        <f>AJ20-(2.51/F20*AF20)</f>
        <v>1.4409022494026208E-2</v>
      </c>
      <c r="AL20" s="21">
        <f>AK20*3.7*V$2*1000</f>
        <v>9.0846005020336431</v>
      </c>
    </row>
    <row r="21" spans="1:39" x14ac:dyDescent="0.2">
      <c r="A21" s="22" t="s">
        <v>82</v>
      </c>
      <c r="B21" s="22">
        <v>699.08355467659101</v>
      </c>
      <c r="C21" s="22">
        <v>8.5152523505581961</v>
      </c>
      <c r="D21" s="22">
        <v>17.435624980457401</v>
      </c>
      <c r="E21" s="22">
        <v>15.850568164052182</v>
      </c>
      <c r="F21" s="23">
        <v>1116153.077334705</v>
      </c>
      <c r="G21" s="22">
        <f t="shared" si="1"/>
        <v>7.3058382046611137E-2</v>
      </c>
      <c r="H21" s="24">
        <f t="shared" si="2"/>
        <v>7.3088190835479239E-2</v>
      </c>
      <c r="I21" s="24">
        <f>H21/V$2*(C21^2)/(2)</f>
        <v>15.550439626516667</v>
      </c>
      <c r="J21" s="24">
        <f>3.7*V$2*((10^(-1/(2*G21^0.5)))-(2.54/(F21*G21^0.5)))*1000</f>
        <v>8.9036690863900976</v>
      </c>
      <c r="L21" s="21">
        <f>0.25/(LOG((ABS(N21)/V$2/3.7)+(5.74/(F21^0.9))))^2</f>
        <v>7.3088155856957771E-2</v>
      </c>
      <c r="M21" s="21">
        <f>L21/V$2*(C21^2)/(2)</f>
        <v>15.550432184392569</v>
      </c>
      <c r="N21" s="21">
        <v>8.9036600000000007E-3</v>
      </c>
      <c r="O21" s="21">
        <f t="shared" si="3"/>
        <v>8.9036600000000004</v>
      </c>
      <c r="P21" s="25">
        <f t="shared" si="4"/>
        <v>194.18987629905305</v>
      </c>
      <c r="Q21" s="21">
        <f t="shared" si="0"/>
        <v>8.9036600000000004</v>
      </c>
      <c r="R21" s="21">
        <f t="shared" si="5"/>
        <v>52.251579145481791</v>
      </c>
      <c r="S21" s="21">
        <f t="shared" si="6"/>
        <v>5.2251525821596242E-2</v>
      </c>
      <c r="AA21" s="21">
        <v>0.05</v>
      </c>
      <c r="AB21" s="21">
        <f t="shared" si="7"/>
        <v>0.20639087248383353</v>
      </c>
      <c r="AC21" s="21">
        <f t="shared" si="8"/>
        <v>43.912275914017833</v>
      </c>
      <c r="AF21" s="21">
        <f t="shared" si="9"/>
        <v>0.27029314095368961</v>
      </c>
      <c r="AG21" s="21">
        <f>1/AF21</f>
        <v>3.6996869268367187</v>
      </c>
      <c r="AH21" s="21">
        <f>10^AG21</f>
        <v>5008.2606917107541</v>
      </c>
      <c r="AI21" s="21">
        <f>1/AH21</f>
        <v>1.9967011734335529E-4</v>
      </c>
      <c r="AJ21" s="21">
        <f>AI21^0.5</f>
        <v>1.4130467697261662E-2</v>
      </c>
      <c r="AK21" s="21">
        <f>AJ21-(2.51/F21*AF21)</f>
        <v>1.4129859863266873E-2</v>
      </c>
      <c r="AL21" s="21">
        <f>AK21*3.7*V$2*1000</f>
        <v>8.9085940465924978</v>
      </c>
    </row>
    <row r="22" spans="1:39" x14ac:dyDescent="0.2">
      <c r="A22" s="22" t="s">
        <v>82</v>
      </c>
      <c r="B22" s="22">
        <v>1004.72634079642</v>
      </c>
      <c r="C22" s="22">
        <v>12.23816277453756</v>
      </c>
      <c r="D22" s="22">
        <v>35.689738115152203</v>
      </c>
      <c r="E22" s="22">
        <v>32.445216468320183</v>
      </c>
      <c r="F22" s="23">
        <v>1604140.7206009233</v>
      </c>
      <c r="G22" s="22">
        <f t="shared" si="1"/>
        <v>7.2399986827353574E-2</v>
      </c>
      <c r="H22" s="24">
        <f t="shared" si="2"/>
        <v>7.2422081655528409E-2</v>
      </c>
      <c r="I22" s="24">
        <f>H22/V$2*(C22^2)/(2)</f>
        <v>31.827598303219393</v>
      </c>
      <c r="J22" s="24">
        <f>3.7*V$2*((10^(-1/(2*G22^0.5)))-(2.54/(F22*G22^0.5)))*1000</f>
        <v>8.7347674848651966</v>
      </c>
      <c r="L22" s="21">
        <f>0.25/(LOG((ABS(N22)/V$2/3.7)+(5.74/(F22^0.9))))^2</f>
        <v>7.2422052674380302E-2</v>
      </c>
      <c r="M22" s="21">
        <f>L22/V$2*(C22^2)/(2)</f>
        <v>31.827585566767759</v>
      </c>
      <c r="N22" s="21">
        <v>8.7347599999999994E-3</v>
      </c>
      <c r="O22" s="21">
        <f t="shared" si="3"/>
        <v>8.7347599999999996</v>
      </c>
      <c r="P22" s="25">
        <f t="shared" si="4"/>
        <v>279.0906502212278</v>
      </c>
      <c r="Q22" s="21">
        <f t="shared" si="0"/>
        <v>8.7347599999999996</v>
      </c>
      <c r="R22" s="21">
        <f t="shared" si="5"/>
        <v>51.260372563762893</v>
      </c>
      <c r="S22" s="21">
        <f t="shared" si="6"/>
        <v>5.1260328638497651E-2</v>
      </c>
      <c r="AA22" s="21">
        <v>0.05</v>
      </c>
      <c r="AB22" s="21">
        <f t="shared" si="7"/>
        <v>0.20637903501048754</v>
      </c>
      <c r="AC22" s="21">
        <f t="shared" si="8"/>
        <v>90.698152750742324</v>
      </c>
      <c r="AF22" s="21">
        <f t="shared" si="9"/>
        <v>0.26907245646359562</v>
      </c>
      <c r="AG22" s="21">
        <f>1/AF22</f>
        <v>3.716471069328108</v>
      </c>
      <c r="AH22" s="21">
        <f>10^AG22</f>
        <v>5205.6033034631937</v>
      </c>
      <c r="AI22" s="21">
        <f>1/AH22</f>
        <v>1.9210069260074391E-4</v>
      </c>
      <c r="AJ22" s="21">
        <f>AI22^0.5</f>
        <v>1.3860039415555206E-2</v>
      </c>
      <c r="AK22" s="21">
        <f>AJ22-(2.51/F22*AF22)</f>
        <v>1.3859618397712412E-2</v>
      </c>
      <c r="AL22" s="21">
        <f>AK22*3.7*V$2*1000</f>
        <v>8.7382122073897222</v>
      </c>
    </row>
    <row r="23" spans="1:39" x14ac:dyDescent="0.2">
      <c r="A23" s="22" t="s">
        <v>82</v>
      </c>
      <c r="B23" s="22">
        <v>1358.6285141983401</v>
      </c>
      <c r="C23" s="22">
        <v>16.548901160198035</v>
      </c>
      <c r="D23" s="22">
        <v>64.073361776830794</v>
      </c>
      <c r="E23" s="22">
        <v>58.248510706209807</v>
      </c>
      <c r="F23" s="23">
        <v>2169179.0443828809</v>
      </c>
      <c r="G23" s="22">
        <f t="shared" si="1"/>
        <v>7.1083166085208496E-2</v>
      </c>
      <c r="H23" s="24">
        <f t="shared" si="2"/>
        <v>7.1100438566180466E-2</v>
      </c>
      <c r="I23" s="24">
        <f>H23/V$2*(C23^2)/(2)</f>
        <v>57.136155879382919</v>
      </c>
      <c r="J23" s="24">
        <f>3.7*V$2*((10^(-1/(2*G23^0.5)))-(2.54/(F23*G23^0.5)))*1000</f>
        <v>8.3976855979456264</v>
      </c>
      <c r="L23" s="21">
        <f>0.25/(LOG((ABS(N23)/V$2/3.7)+(5.74/(F23^0.9))))^2</f>
        <v>7.1100436223118221E-2</v>
      </c>
      <c r="M23" s="21">
        <f>L23/V$2*(C23^2)/(2)</f>
        <v>57.136153996503261</v>
      </c>
      <c r="N23" s="21">
        <v>8.3976850000000002E-3</v>
      </c>
      <c r="O23" s="21">
        <f t="shared" si="3"/>
        <v>8.397685000000001</v>
      </c>
      <c r="P23" s="25">
        <f t="shared" si="4"/>
        <v>377.3968094995389</v>
      </c>
      <c r="Q23" s="21">
        <f t="shared" si="0"/>
        <v>8.397685000000001</v>
      </c>
      <c r="R23" s="21">
        <f t="shared" si="5"/>
        <v>49.282192476206731</v>
      </c>
      <c r="S23" s="21">
        <f t="shared" si="6"/>
        <v>4.9282188967136153E-2</v>
      </c>
      <c r="AA23" s="21">
        <v>0.05</v>
      </c>
      <c r="AB23" s="21">
        <f t="shared" si="7"/>
        <v>0.20637174179405465</v>
      </c>
      <c r="AC23" s="21">
        <f t="shared" si="8"/>
        <v>165.83987730637568</v>
      </c>
      <c r="AF23" s="21">
        <f t="shared" si="9"/>
        <v>0.26661426459439208</v>
      </c>
      <c r="AG23" s="21">
        <f>1/AF23</f>
        <v>3.7507370489772129</v>
      </c>
      <c r="AH23" s="21">
        <f>10^AG23</f>
        <v>5632.9649505730213</v>
      </c>
      <c r="AI23" s="21">
        <f>1/AH23</f>
        <v>1.7752640195254076E-4</v>
      </c>
      <c r="AJ23" s="21">
        <f>AI23^0.5</f>
        <v>1.3323903405254061E-2</v>
      </c>
      <c r="AK23" s="21">
        <f>AJ23-(2.51/F23*AF23)</f>
        <v>1.332359490061224E-2</v>
      </c>
      <c r="AL23" s="21">
        <f>AK23*3.7*V$2*1000</f>
        <v>8.400260112938005</v>
      </c>
    </row>
    <row r="24" spans="1:39" x14ac:dyDescent="0.2">
      <c r="A24" s="22"/>
      <c r="B24" s="22"/>
      <c r="C24" s="22"/>
      <c r="D24" s="22"/>
      <c r="E24" s="22"/>
      <c r="F24" s="23"/>
      <c r="G24" s="22"/>
      <c r="H24" s="24"/>
      <c r="I24" s="24"/>
      <c r="J24" s="24"/>
      <c r="K24" s="21">
        <f>AVERAGE(J19:J23)</f>
        <v>10.924901129587825</v>
      </c>
      <c r="P24" s="25">
        <f>AVERAGE(O19:O23)</f>
        <v>10.924821000000001</v>
      </c>
      <c r="Q24" s="21">
        <f>STDEV(O19:O23)</f>
        <v>4.8069131883730716</v>
      </c>
      <c r="T24" s="21">
        <f>AVERAGE(S19:S23)</f>
        <v>6.4112799295774653E-2</v>
      </c>
      <c r="AL24" s="21" t="s">
        <v>119</v>
      </c>
      <c r="AM24" s="21">
        <f>AVERAGE(AL19:AL23)</f>
        <v>10.931396969056321</v>
      </c>
    </row>
    <row r="25" spans="1:39" x14ac:dyDescent="0.2">
      <c r="A25" s="22"/>
      <c r="B25" s="22"/>
      <c r="C25" s="22"/>
      <c r="D25" s="22"/>
      <c r="E25" s="22"/>
      <c r="F25" s="23"/>
      <c r="G25" s="22"/>
      <c r="H25" s="24"/>
      <c r="I25" s="24"/>
      <c r="J25" s="24"/>
      <c r="K25" s="21">
        <f>STDEV(J19:J23)</f>
        <v>4.8070559101127959</v>
      </c>
      <c r="P25" s="25"/>
      <c r="AL25" s="21" t="s">
        <v>120</v>
      </c>
      <c r="AM25" s="21">
        <f>STDEV(AL19:AL23)</f>
        <v>4.8107842478166605</v>
      </c>
    </row>
    <row r="26" spans="1:39" x14ac:dyDescent="0.2">
      <c r="A26" s="22"/>
      <c r="B26" s="22"/>
      <c r="C26" s="22"/>
      <c r="D26" s="22"/>
      <c r="E26" s="22"/>
      <c r="F26" s="23"/>
      <c r="G26" s="22"/>
      <c r="H26" s="24"/>
      <c r="I26" s="24"/>
      <c r="J26" s="24"/>
      <c r="P26" s="25"/>
    </row>
    <row r="27" spans="1:39" x14ac:dyDescent="0.2">
      <c r="A27" s="22" t="s">
        <v>83</v>
      </c>
      <c r="B27" s="22">
        <v>149.92182296137901</v>
      </c>
      <c r="C27" s="22">
        <v>1.8261367283377756</v>
      </c>
      <c r="D27" s="22">
        <v>1.97300930206405</v>
      </c>
      <c r="E27" s="22">
        <v>1.7936448200582271</v>
      </c>
      <c r="F27" s="23">
        <v>239364.38346827458</v>
      </c>
      <c r="G27" s="22">
        <f t="shared" si="1"/>
        <v>0.17975878608739629</v>
      </c>
      <c r="H27" s="24">
        <f t="shared" si="2"/>
        <v>0.17987427154363569</v>
      </c>
      <c r="I27" s="24">
        <f>H27/V$2*(C27^2)/(2)</f>
        <v>1.7600947386971961</v>
      </c>
      <c r="J27" s="24">
        <f>3.7*V$2*((10^(-1/(2*G27^0.5)))-(2.54/(F27*G27^0.5)))*1000</f>
        <v>41.706647853917083</v>
      </c>
      <c r="L27" s="21">
        <f>0.25/(LOG((ABS(N27)/V$2/3.7)+(5.74/(F27^0.9))))^2</f>
        <v>0.17987411967533459</v>
      </c>
      <c r="M27" s="21">
        <f>L27/V$2*(C27^2)/(2)</f>
        <v>1.7600932526447695</v>
      </c>
      <c r="N27" s="21">
        <v>4.1706600000000003E-2</v>
      </c>
      <c r="O27" s="21">
        <f t="shared" si="3"/>
        <v>41.706600000000002</v>
      </c>
      <c r="P27" s="25">
        <f t="shared" si="4"/>
        <v>41.644950822605281</v>
      </c>
      <c r="Q27" s="21">
        <f t="shared" si="0"/>
        <v>41.706600000000002</v>
      </c>
      <c r="R27" s="21">
        <f t="shared" si="5"/>
        <v>244.75732308636788</v>
      </c>
      <c r="S27" s="21">
        <f t="shared" si="6"/>
        <v>0.24475704225352113</v>
      </c>
      <c r="AA27" s="21">
        <v>0.09</v>
      </c>
      <c r="AB27" s="21">
        <f t="shared" si="7"/>
        <v>0.34998105689485537</v>
      </c>
      <c r="AC27" s="21">
        <f t="shared" si="8"/>
        <v>3.4246132679118797</v>
      </c>
      <c r="AF27" s="21">
        <f t="shared" si="9"/>
        <v>0.42397970008880886</v>
      </c>
      <c r="AG27" s="21">
        <f>1/AF27</f>
        <v>2.3586034892485066</v>
      </c>
      <c r="AH27" s="21">
        <f>10^AG27</f>
        <v>228.35130045611865</v>
      </c>
      <c r="AI27" s="21">
        <f>1/AH27</f>
        <v>4.379217451367946E-3</v>
      </c>
      <c r="AJ27" s="21">
        <f>AI27^0.5</f>
        <v>6.617565603277345E-2</v>
      </c>
      <c r="AK27" s="21">
        <f>AJ27-(2.51/F27*AF27)</f>
        <v>6.6171210137223727E-2</v>
      </c>
      <c r="AL27" s="21">
        <f>AK27*3.7*V$2*1000</f>
        <v>41.719624567316814</v>
      </c>
    </row>
    <row r="28" spans="1:39" x14ac:dyDescent="0.2">
      <c r="A28" s="22" t="s">
        <v>83</v>
      </c>
      <c r="B28" s="22">
        <v>397.46238416359898</v>
      </c>
      <c r="C28" s="22">
        <v>4.8413275900522068</v>
      </c>
      <c r="D28" s="22">
        <v>9.5098912792916703</v>
      </c>
      <c r="E28" s="22">
        <v>8.6453557084469725</v>
      </c>
      <c r="F28" s="23">
        <v>634586.3241114585</v>
      </c>
      <c r="G28" s="22">
        <f t="shared" si="1"/>
        <v>0.12327476628358275</v>
      </c>
      <c r="H28" s="24">
        <f t="shared" si="2"/>
        <v>0.12332069813947176</v>
      </c>
      <c r="I28" s="24">
        <f>H28/V$2*(C28^2)/(2)</f>
        <v>8.48135671016054</v>
      </c>
      <c r="J28" s="24">
        <f>3.7*V$2*((10^(-1/(2*G28^0.5)))-(2.54/(F28*G28^0.5)))*1000</f>
        <v>23.739123812149234</v>
      </c>
      <c r="L28" s="21">
        <f>0.25/(LOG((ABS(N28)/V$2/3.7)+(5.74/(F28^0.9))))^2</f>
        <v>0.12332030612668138</v>
      </c>
      <c r="M28" s="21">
        <f>L28/V$2*(C28^2)/(2)</f>
        <v>8.4813297495581406</v>
      </c>
      <c r="N28" s="21">
        <v>2.3739E-2</v>
      </c>
      <c r="O28" s="21">
        <f t="shared" si="3"/>
        <v>23.739000000000001</v>
      </c>
      <c r="P28" s="25">
        <f t="shared" si="4"/>
        <v>110.40621782322194</v>
      </c>
      <c r="Q28" s="21">
        <f t="shared" si="0"/>
        <v>23.739000000000001</v>
      </c>
      <c r="R28" s="21">
        <f t="shared" si="5"/>
        <v>139.31410687881007</v>
      </c>
      <c r="S28" s="21">
        <f t="shared" si="6"/>
        <v>0.13931338028169013</v>
      </c>
      <c r="AA28" s="21">
        <v>0.09</v>
      </c>
      <c r="AB28" s="21">
        <f t="shared" si="7"/>
        <v>0.34985934058752899</v>
      </c>
      <c r="AC28" s="21">
        <f t="shared" si="8"/>
        <v>24.061507197668309</v>
      </c>
      <c r="AF28" s="21">
        <f t="shared" si="9"/>
        <v>0.35110506445162926</v>
      </c>
      <c r="AG28" s="21">
        <f>1/AF28</f>
        <v>2.8481503152392356</v>
      </c>
      <c r="AH28" s="21">
        <f>10^AG28</f>
        <v>704.93701505675676</v>
      </c>
      <c r="AI28" s="21">
        <f>1/AH28</f>
        <v>1.4185664515282783E-3</v>
      </c>
      <c r="AJ28" s="21">
        <f>AI28^0.5</f>
        <v>3.7663861346498691E-2</v>
      </c>
      <c r="AK28" s="21">
        <f>AJ28-(2.51/F28*AF28)</f>
        <v>3.7662472609177558E-2</v>
      </c>
      <c r="AL28" s="21">
        <f>AK28*3.7*V$2*1000</f>
        <v>23.745435730634266</v>
      </c>
    </row>
    <row r="29" spans="1:39" x14ac:dyDescent="0.2">
      <c r="A29" s="22" t="s">
        <v>83</v>
      </c>
      <c r="B29" s="22">
        <v>701.094362480011</v>
      </c>
      <c r="C29" s="22">
        <v>8.5397451822949026</v>
      </c>
      <c r="D29" s="22">
        <v>29.228697123827999</v>
      </c>
      <c r="E29" s="22">
        <v>26.571542839843634</v>
      </c>
      <c r="F29" s="23">
        <v>1119363.5223561933</v>
      </c>
      <c r="G29" s="22">
        <f t="shared" si="1"/>
        <v>0.12177193567880372</v>
      </c>
      <c r="H29" s="24">
        <f t="shared" si="2"/>
        <v>0.12180022021476421</v>
      </c>
      <c r="I29" s="24">
        <f>H29/V$2*(C29^2)/(2)</f>
        <v>26.063834621718033</v>
      </c>
      <c r="J29" s="24">
        <f>3.7*V$2*((10^(-1/(2*G29^0.5)))-(2.54/(F29*G29^0.5)))*1000</f>
        <v>23.268001339306391</v>
      </c>
      <c r="L29" s="21">
        <f>0.25/(LOG((ABS(N29)/V$2/3.7)+(5.74/(F29^0.9))))^2</f>
        <v>0.12180021596666764</v>
      </c>
      <c r="M29" s="21">
        <f>L29/V$2*(C29^2)/(2)</f>
        <v>26.063833712674629</v>
      </c>
      <c r="N29" s="21">
        <v>2.3268E-2</v>
      </c>
      <c r="O29" s="21">
        <f t="shared" si="3"/>
        <v>23.268000000000001</v>
      </c>
      <c r="P29" s="25">
        <f t="shared" si="4"/>
        <v>194.74843402222527</v>
      </c>
      <c r="Q29" s="21">
        <f t="shared" si="0"/>
        <v>23.268000000000001</v>
      </c>
      <c r="R29" s="21">
        <f t="shared" si="5"/>
        <v>136.54930363442719</v>
      </c>
      <c r="S29" s="21">
        <f t="shared" si="6"/>
        <v>0.13654929577464789</v>
      </c>
      <c r="AA29" s="21">
        <v>0.09</v>
      </c>
      <c r="AB29" s="21">
        <f t="shared" si="7"/>
        <v>0.34982469060396165</v>
      </c>
      <c r="AC29" s="21">
        <f t="shared" si="8"/>
        <v>74.858426909396584</v>
      </c>
      <c r="AF29" s="21">
        <f t="shared" si="9"/>
        <v>0.34895835808704129</v>
      </c>
      <c r="AG29" s="21">
        <f>1/AF29</f>
        <v>2.8656714385117787</v>
      </c>
      <c r="AH29" s="21">
        <f>10^AG29</f>
        <v>733.95838860673439</v>
      </c>
      <c r="AI29" s="21">
        <f>1/AH29</f>
        <v>1.3624750606070321E-3</v>
      </c>
      <c r="AJ29" s="21">
        <f>AI29^0.5</f>
        <v>3.6911719827272101E-2</v>
      </c>
      <c r="AK29" s="21">
        <f>AJ29-(2.51/F29*AF29)</f>
        <v>3.6910937341992474E-2</v>
      </c>
      <c r="AL29" s="21">
        <f>AK29*3.7*V$2*1000</f>
        <v>23.271607775379415</v>
      </c>
    </row>
    <row r="30" spans="1:39" x14ac:dyDescent="0.2">
      <c r="A30" s="22" t="s">
        <v>83</v>
      </c>
      <c r="B30" s="22">
        <v>1002.715532993</v>
      </c>
      <c r="C30" s="22">
        <v>12.213669942800854</v>
      </c>
      <c r="D30" s="22">
        <v>58.282965568888201</v>
      </c>
      <c r="E30" s="22">
        <v>52.984514153534725</v>
      </c>
      <c r="F30" s="23">
        <v>1600930.2755794351</v>
      </c>
      <c r="G30" s="22">
        <f t="shared" si="1"/>
        <v>0.1187071446785766</v>
      </c>
      <c r="H30" s="24">
        <f t="shared" si="2"/>
        <v>0.1187279409646002</v>
      </c>
      <c r="I30" s="24">
        <f>H30/V$2*(C30^2)/(2)</f>
        <v>51.96916144687286</v>
      </c>
      <c r="J30" s="24">
        <f>3.7*V$2*((10^(-1/(2*G30^0.5)))-(2.54/(F30*G30^0.5)))*1000</f>
        <v>22.304906255453194</v>
      </c>
      <c r="L30" s="21">
        <f>0.25/(LOG((ABS(N30)/V$2/3.7)+(5.74/(F30^0.9))))^2</f>
        <v>0.11872792104188803</v>
      </c>
      <c r="M30" s="21">
        <f>L30/V$2*(C30^2)/(2)</f>
        <v>51.969152726375931</v>
      </c>
      <c r="N30" s="21">
        <v>2.2304899999999999E-2</v>
      </c>
      <c r="O30" s="21">
        <f t="shared" si="3"/>
        <v>22.3049</v>
      </c>
      <c r="P30" s="25">
        <f t="shared" si="4"/>
        <v>278.53209249805553</v>
      </c>
      <c r="Q30" s="21">
        <f t="shared" si="0"/>
        <v>22.3049</v>
      </c>
      <c r="R30" s="21">
        <f t="shared" si="5"/>
        <v>130.89733717988963</v>
      </c>
      <c r="S30" s="21">
        <f t="shared" si="6"/>
        <v>0.13089730046948356</v>
      </c>
      <c r="AA30" s="21">
        <v>0.09</v>
      </c>
      <c r="AB30" s="21">
        <f t="shared" si="7"/>
        <v>0.34981037939091986</v>
      </c>
      <c r="AC30" s="21">
        <f t="shared" si="8"/>
        <v>153.1177238875801</v>
      </c>
      <c r="AF30" s="21">
        <f t="shared" si="9"/>
        <v>0.34453903215539544</v>
      </c>
      <c r="AG30" s="21">
        <f>1/AF30</f>
        <v>2.9024287719859148</v>
      </c>
      <c r="AH30" s="21">
        <f>10^AG30</f>
        <v>798.78292368385235</v>
      </c>
      <c r="AI30" s="21">
        <f>1/AH30</f>
        <v>1.251904579266878E-3</v>
      </c>
      <c r="AJ30" s="21">
        <f>AI30^0.5</f>
        <v>3.5382263625535294E-2</v>
      </c>
      <c r="AK30" s="21">
        <f>AJ30-(2.51/F30*AF30)</f>
        <v>3.5381723444002158E-2</v>
      </c>
      <c r="AL30" s="21">
        <f>AK30*3.7*V$2*1000</f>
        <v>22.307468996974478</v>
      </c>
    </row>
    <row r="31" spans="1:39" x14ac:dyDescent="0.2">
      <c r="A31" s="22" t="s">
        <v>83</v>
      </c>
      <c r="B31" s="22">
        <v>1244.0124694034</v>
      </c>
      <c r="C31" s="22">
        <v>15.152809751205723</v>
      </c>
      <c r="D31" s="22">
        <v>90.270358667461096</v>
      </c>
      <c r="E31" s="22">
        <v>82.063962424964629</v>
      </c>
      <c r="F31" s="23">
        <v>1986183.6781580425</v>
      </c>
      <c r="G31" s="22">
        <f t="shared" si="1"/>
        <v>0.11945006858469148</v>
      </c>
      <c r="H31" s="24">
        <f t="shared" si="2"/>
        <v>0.11946736402829072</v>
      </c>
      <c r="I31" s="24">
        <f>H31/V$2*(C31^2)/(2)</f>
        <v>80.488908194006171</v>
      </c>
      <c r="J31" s="24">
        <f>3.7*V$2*((10^(-1/(2*G31^0.5)))-(2.54/(F31*G31^0.5)))*1000</f>
        <v>22.53886061244663</v>
      </c>
      <c r="L31" s="21">
        <f>0.25/(LOG((ABS(N31)/V$2/3.7)+(5.74/(F31^0.9))))^2</f>
        <v>0.11946717118769402</v>
      </c>
      <c r="M31" s="21">
        <f>L31/V$2*(C31^2)/(2)</f>
        <v>80.488778271251036</v>
      </c>
      <c r="N31" s="21">
        <v>2.2538800000000001E-2</v>
      </c>
      <c r="O31" s="21">
        <f t="shared" si="3"/>
        <v>22.538800000000002</v>
      </c>
      <c r="P31" s="25">
        <f t="shared" si="4"/>
        <v>345.55901927872225</v>
      </c>
      <c r="Q31" s="21">
        <f t="shared" si="0"/>
        <v>22.538800000000002</v>
      </c>
      <c r="R31" s="21">
        <f t="shared" si="5"/>
        <v>132.27030875848962</v>
      </c>
      <c r="S31" s="21">
        <f t="shared" si="6"/>
        <v>0.13226995305164321</v>
      </c>
      <c r="AA31" s="21">
        <v>0.09</v>
      </c>
      <c r="AB31" s="21">
        <f t="shared" si="7"/>
        <v>0.34980373518083746</v>
      </c>
      <c r="AC31" s="21">
        <f t="shared" si="8"/>
        <v>235.67374199554192</v>
      </c>
      <c r="AF31" s="21">
        <f t="shared" si="9"/>
        <v>0.34561549239681294</v>
      </c>
      <c r="AG31" s="21">
        <f>1/AF31</f>
        <v>2.8933888150241422</v>
      </c>
      <c r="AH31" s="21">
        <f>10^AG31</f>
        <v>782.3278934188362</v>
      </c>
      <c r="AI31" s="21">
        <f>1/AH31</f>
        <v>1.2782364126503519E-3</v>
      </c>
      <c r="AJ31" s="21">
        <f>AI31^0.5</f>
        <v>3.575243226202033E-2</v>
      </c>
      <c r="AK31" s="21">
        <f>AJ31-(2.51/F31*AF31)</f>
        <v>3.5751995497336653E-2</v>
      </c>
      <c r="AL31" s="21">
        <f>AK31*3.7*V$2*1000</f>
        <v>22.540918121160811</v>
      </c>
    </row>
    <row r="32" spans="1:39" x14ac:dyDescent="0.2">
      <c r="A32" s="22"/>
      <c r="B32" s="22"/>
      <c r="C32" s="22"/>
      <c r="D32" s="22"/>
      <c r="E32" s="22"/>
      <c r="F32" s="23"/>
      <c r="G32" s="22"/>
      <c r="H32" s="24"/>
      <c r="I32" s="24"/>
      <c r="J32" s="24"/>
      <c r="K32" s="21">
        <f>AVERAGE(J27:J31)</f>
        <v>26.711507974654506</v>
      </c>
      <c r="P32" s="25">
        <f>AVERAGE(O27:O31)</f>
        <v>26.711459999999999</v>
      </c>
      <c r="Q32" s="21">
        <f>STDEV(O27:O31)</f>
        <v>8.4020238834461836</v>
      </c>
      <c r="T32" s="21">
        <f>AVERAGE(S27:S31)</f>
        <v>0.15675739436619721</v>
      </c>
      <c r="AL32" s="21" t="s">
        <v>119</v>
      </c>
      <c r="AM32" s="21">
        <f>AVERAGE(AL27:AL31)</f>
        <v>26.717011038293158</v>
      </c>
    </row>
    <row r="33" spans="1:39" x14ac:dyDescent="0.2">
      <c r="A33" s="22"/>
      <c r="B33" s="22"/>
      <c r="C33" s="22"/>
      <c r="D33" s="22"/>
      <c r="E33" s="22"/>
      <c r="F33" s="23"/>
      <c r="G33" s="22"/>
      <c r="H33" s="24"/>
      <c r="I33" s="24"/>
      <c r="J33" s="24"/>
      <c r="K33" s="21">
        <f>STDEV(J27:J31)</f>
        <v>8.4020258015085041</v>
      </c>
      <c r="P33" s="25"/>
      <c r="AL33" s="21" t="s">
        <v>120</v>
      </c>
      <c r="AM33" s="21">
        <f>STDEV(AL27:AL31)</f>
        <v>8.4062965868018882</v>
      </c>
    </row>
    <row r="34" spans="1:39" x14ac:dyDescent="0.2">
      <c r="A34" s="22"/>
      <c r="B34" s="22"/>
      <c r="C34" s="22"/>
      <c r="D34" s="22"/>
      <c r="E34" s="22"/>
      <c r="F34" s="23"/>
      <c r="G34" s="22"/>
      <c r="H34" s="24"/>
      <c r="I34" s="24"/>
      <c r="J34" s="24"/>
      <c r="P34" s="25"/>
    </row>
    <row r="35" spans="1:39" x14ac:dyDescent="0.2">
      <c r="A35" s="22" t="s">
        <v>84</v>
      </c>
      <c r="B35" s="22">
        <v>245.82078929298024</v>
      </c>
      <c r="C35" s="22">
        <v>2.9942430197939442</v>
      </c>
      <c r="D35" s="22">
        <v>0.37853502060006283</v>
      </c>
      <c r="E35" s="22">
        <v>0.3441227460000571</v>
      </c>
      <c r="F35" s="23">
        <v>392476.16197914467</v>
      </c>
      <c r="G35" s="22">
        <f t="shared" si="1"/>
        <v>1.2828017681423207E-2</v>
      </c>
      <c r="H35" s="24">
        <f t="shared" si="2"/>
        <v>1.4553276987038739E-2</v>
      </c>
      <c r="I35" s="24">
        <f>H35/V$2*(C35^2)/(2)</f>
        <v>0.38285586166290608</v>
      </c>
      <c r="J35" s="24">
        <f>3.7*V$2*((10^(-1/(2*G35^0.5)))-(2.54/(F35*G35^0.5)))*1000</f>
        <v>-1.1754934565138896E-2</v>
      </c>
      <c r="L35" s="21">
        <f>0.25/(LOG((ABS(N35)/V$2/3.7)+(5.74/(F35^0.9))))^2</f>
        <v>1.3692681970863534E-2</v>
      </c>
      <c r="M35" s="21">
        <f>L35/V$2*(C35^2)/(2)</f>
        <v>0.36021602276243014</v>
      </c>
      <c r="N35" s="21">
        <v>1.9999999999999999E-7</v>
      </c>
      <c r="O35" s="21">
        <f t="shared" si="3"/>
        <v>1.9999999999999998E-4</v>
      </c>
      <c r="P35" s="25">
        <f t="shared" si="4"/>
        <v>68.283552581383404</v>
      </c>
      <c r="Q35" s="21">
        <f t="shared" si="0"/>
        <v>1.9999999999999998E-4</v>
      </c>
      <c r="R35" s="21">
        <f t="shared" si="5"/>
        <v>-6.8984357776636709E-2</v>
      </c>
      <c r="S35" s="21">
        <f t="shared" si="6"/>
        <v>1.1737089201877934E-6</v>
      </c>
      <c r="AA35" s="21">
        <v>1E-3</v>
      </c>
      <c r="AB35" s="21">
        <f t="shared" si="7"/>
        <v>3.222315472889925E-2</v>
      </c>
      <c r="AC35" s="21">
        <f t="shared" si="8"/>
        <v>0.84770073985516381</v>
      </c>
      <c r="AF35" s="21">
        <f t="shared" si="9"/>
        <v>0.11326083913437691</v>
      </c>
      <c r="AG35" s="21">
        <f>1/AF35</f>
        <v>8.8291770363237596</v>
      </c>
      <c r="AH35" s="21">
        <f>10^AG35</f>
        <v>674803049.16380477</v>
      </c>
      <c r="AI35" s="21">
        <f>1/AH35</f>
        <v>1.4819138728539673E-9</v>
      </c>
      <c r="AJ35" s="21">
        <f>AI35^0.5</f>
        <v>3.8495634464884029E-5</v>
      </c>
      <c r="AK35" s="21">
        <f>AJ35-(2.51/F35*AF35)</f>
        <v>3.7771298228018786E-5</v>
      </c>
      <c r="AL35" s="21">
        <f>AK35*3.7*V$2*1000</f>
        <v>2.3814048106801284E-2</v>
      </c>
    </row>
    <row r="36" spans="1:39" x14ac:dyDescent="0.2">
      <c r="A36" s="22" t="s">
        <v>84</v>
      </c>
      <c r="B36" s="22">
        <v>395.45157636017865</v>
      </c>
      <c r="C36" s="22">
        <v>4.8168347583154958</v>
      </c>
      <c r="D36" s="22">
        <v>0.89732416207585897</v>
      </c>
      <c r="E36" s="22">
        <v>0.81574923825078083</v>
      </c>
      <c r="F36" s="23">
        <v>631375.87908996956</v>
      </c>
      <c r="G36" s="22">
        <f t="shared" si="1"/>
        <v>1.1750421417029306E-2</v>
      </c>
      <c r="H36" s="24">
        <f t="shared" si="2"/>
        <v>1.3362778309451892E-2</v>
      </c>
      <c r="I36" s="24">
        <f>H36/V$2*(C36^2)/(2)</f>
        <v>0.90974708673094395</v>
      </c>
      <c r="J36" s="24">
        <f>3.7*V$2*((10^(-1/(2*G36^0.5)))-(2.54/(F36*G36^0.5)))*1000</f>
        <v>-8.0136069613081472E-3</v>
      </c>
      <c r="L36" s="21">
        <f>0.25/(LOG((ABS(N36)/V$2/3.7)+(5.74/(F36^0.9))))^2</f>
        <v>1.2778026139138782E-2</v>
      </c>
      <c r="M36" s="21">
        <f>L36/V$2*(C36^2)/(2)</f>
        <v>0.8699367590369147</v>
      </c>
      <c r="N36" s="21">
        <v>1.9999999999999999E-6</v>
      </c>
      <c r="O36" s="21">
        <f t="shared" si="3"/>
        <v>2E-3</v>
      </c>
      <c r="P36" s="25">
        <f t="shared" si="4"/>
        <v>109.84766010004962</v>
      </c>
      <c r="Q36" s="21">
        <f t="shared" si="0"/>
        <v>2E-3</v>
      </c>
      <c r="R36" s="21">
        <f t="shared" si="5"/>
        <v>-4.7028209866831851E-2</v>
      </c>
      <c r="S36" s="21">
        <f t="shared" si="6"/>
        <v>1.1737089201877934E-5</v>
      </c>
      <c r="AA36" s="21">
        <v>1E-3</v>
      </c>
      <c r="AB36" s="21">
        <f t="shared" si="7"/>
        <v>3.2109655405440023E-2</v>
      </c>
      <c r="AC36" s="21">
        <f t="shared" si="8"/>
        <v>2.1860473012839918</v>
      </c>
      <c r="AF36" s="21">
        <f t="shared" si="9"/>
        <v>0.10839936077777076</v>
      </c>
      <c r="AG36" s="21">
        <f>1/AF36</f>
        <v>9.2251466505425004</v>
      </c>
      <c r="AH36" s="21">
        <f>10^AG36</f>
        <v>1679371004.5853572</v>
      </c>
      <c r="AI36" s="21">
        <f>1/AH36</f>
        <v>5.9546103706066044E-10</v>
      </c>
      <c r="AJ36" s="21">
        <f>AI36^0.5</f>
        <v>2.4402070343736418E-5</v>
      </c>
      <c r="AK36" s="21">
        <f>AJ36-(2.51/F36*AF36)</f>
        <v>2.3971134660947318E-5</v>
      </c>
      <c r="AL36" s="21">
        <f>AK36*3.7*V$2*1000</f>
        <v>1.5113320981034066E-2</v>
      </c>
    </row>
    <row r="37" spans="1:39" x14ac:dyDescent="0.2">
      <c r="A37" s="22" t="s">
        <v>84</v>
      </c>
      <c r="B37" s="22">
        <v>704.11057418514122</v>
      </c>
      <c r="C37" s="22">
        <v>8.576484429899967</v>
      </c>
      <c r="D37" s="22">
        <v>2.7529930142777448</v>
      </c>
      <c r="E37" s="22">
        <v>2.5027209220706768</v>
      </c>
      <c r="F37" s="23">
        <v>1124179.1898884263</v>
      </c>
      <c r="G37" s="22">
        <f t="shared" si="1"/>
        <v>1.1371403726556366E-2</v>
      </c>
      <c r="H37" s="24">
        <f t="shared" si="2"/>
        <v>1.1453388725958314E-2</v>
      </c>
      <c r="I37" s="24">
        <f>H37/V$2*(C37^2)/(2)</f>
        <v>2.4720259292372466</v>
      </c>
      <c r="J37" s="24">
        <f>3.7*V$2*((10^(-1/(2*G37^0.5)))-(2.54/(F37*G37^0.5)))*1000</f>
        <v>-4.5068217986695769E-4</v>
      </c>
      <c r="L37" s="21">
        <f>0.25/(LOG((ABS(N37)/V$2/3.7)+(5.74/(F37^0.9))))^2</f>
        <v>1.1689669319231651E-2</v>
      </c>
      <c r="M37" s="21">
        <f>L37/V$2*(C37^2)/(2)</f>
        <v>2.5230232163391362</v>
      </c>
      <c r="N37" s="21">
        <v>1.9999999999999999E-6</v>
      </c>
      <c r="O37" s="21">
        <f t="shared" si="3"/>
        <v>2E-3</v>
      </c>
      <c r="P37" s="25">
        <f t="shared" si="4"/>
        <v>195.58627060698367</v>
      </c>
      <c r="Q37" s="21">
        <f t="shared" si="0"/>
        <v>2E-3</v>
      </c>
      <c r="R37" s="21">
        <f t="shared" si="5"/>
        <v>-2.6448484733976392E-3</v>
      </c>
      <c r="S37" s="21">
        <f t="shared" si="6"/>
        <v>1.1737089201877934E-5</v>
      </c>
      <c r="AA37" s="21">
        <v>1E-3</v>
      </c>
      <c r="AB37" s="21">
        <f t="shared" si="7"/>
        <v>3.2023112457279443E-2</v>
      </c>
      <c r="AC37" s="21">
        <f t="shared" si="8"/>
        <v>6.9116631089155245</v>
      </c>
      <c r="AF37" s="21">
        <f t="shared" si="9"/>
        <v>0.1066367841157842</v>
      </c>
      <c r="AG37" s="21">
        <f>1/AF37</f>
        <v>9.3776271320618498</v>
      </c>
      <c r="AH37" s="21">
        <f>10^AG37</f>
        <v>2385762083.0920649</v>
      </c>
      <c r="AI37" s="21">
        <f>1/AH37</f>
        <v>4.1915327898243351E-10</v>
      </c>
      <c r="AJ37" s="21">
        <f>AI37^0.5</f>
        <v>2.0473233232258002E-5</v>
      </c>
      <c r="AK37" s="21">
        <f>AJ37-(2.51/F37*AF37)</f>
        <v>2.0235141004134491E-5</v>
      </c>
      <c r="AL37" s="21">
        <f>AK37*3.7*V$2*1000</f>
        <v>1.2757851700286713E-2</v>
      </c>
    </row>
    <row r="38" spans="1:39" x14ac:dyDescent="0.2">
      <c r="A38" s="22" t="s">
        <v>84</v>
      </c>
      <c r="B38" s="22">
        <v>905.19135452713635</v>
      </c>
      <c r="C38" s="22">
        <v>11.02576760357063</v>
      </c>
      <c r="D38" s="22">
        <v>4.409127581296632</v>
      </c>
      <c r="E38" s="22">
        <v>4.008297801178756</v>
      </c>
      <c r="F38" s="23">
        <v>1445223.6920372578</v>
      </c>
      <c r="G38" s="22">
        <f t="shared" si="1"/>
        <v>1.1019517359890709E-2</v>
      </c>
      <c r="H38" s="24">
        <f t="shared" si="2"/>
        <v>1.0979916625043103E-2</v>
      </c>
      <c r="I38" s="24">
        <f>H38/V$2*(C38^2)/(2)</f>
        <v>3.9166712940525814</v>
      </c>
      <c r="J38" s="24">
        <f>3.7*V$2*((10^(-1/(2*G38^0.5)))-(2.54/(F38*G38^0.5)))*1000</f>
        <v>3.2308762342291388E-4</v>
      </c>
      <c r="L38" s="21">
        <f>0.25/(LOG((ABS(N38)/V$2/3.7)+(5.74/(F38^0.9))))^2</f>
        <v>1.1277689040913757E-2</v>
      </c>
      <c r="M38" s="21">
        <f>L38/V$2*(C38^2)/(2)</f>
        <v>4.0228903768770561</v>
      </c>
      <c r="N38" s="21">
        <v>1.9999999999999999E-6</v>
      </c>
      <c r="O38" s="21">
        <f t="shared" si="3"/>
        <v>2E-3</v>
      </c>
      <c r="P38" s="25">
        <f t="shared" si="4"/>
        <v>251.44204292420454</v>
      </c>
      <c r="Q38" s="21">
        <f t="shared" si="0"/>
        <v>2E-3</v>
      </c>
      <c r="R38" s="21">
        <f t="shared" si="5"/>
        <v>1.8960541280687434E-3</v>
      </c>
      <c r="S38" s="21">
        <f t="shared" si="6"/>
        <v>1.1737089201877934E-5</v>
      </c>
      <c r="AA38" s="21">
        <v>1E-3</v>
      </c>
      <c r="AB38" s="21">
        <f t="shared" si="7"/>
        <v>3.1997308456509249E-2</v>
      </c>
      <c r="AC38" s="21">
        <f t="shared" si="8"/>
        <v>11.413833437743769</v>
      </c>
      <c r="AF38" s="21">
        <f t="shared" si="9"/>
        <v>0.10497388894334966</v>
      </c>
      <c r="AG38" s="21">
        <f>1/AF38</f>
        <v>9.5261784627190593</v>
      </c>
      <c r="AH38" s="21">
        <f>10^AG38</f>
        <v>3358756057.7256036</v>
      </c>
      <c r="AI38" s="21">
        <f>1/AH38</f>
        <v>2.9772927322300221E-10</v>
      </c>
      <c r="AJ38" s="21">
        <f>AI38^0.5</f>
        <v>1.7254833329331299E-5</v>
      </c>
      <c r="AK38" s="21">
        <f>AJ38-(2.51/F38*AF38)</f>
        <v>1.7072519364580011E-5</v>
      </c>
      <c r="AL38" s="21">
        <f>AK38*3.7*V$2*1000</f>
        <v>1.0763882008980406E-2</v>
      </c>
    </row>
    <row r="39" spans="1:39" x14ac:dyDescent="0.2">
      <c r="A39" s="22" t="s">
        <v>84</v>
      </c>
      <c r="B39" s="22">
        <v>1124.3694050999111</v>
      </c>
      <c r="C39" s="22">
        <v>13.695486262871656</v>
      </c>
      <c r="D39" s="22">
        <v>6.6131129047407446</v>
      </c>
      <c r="E39" s="22">
        <v>6.0119208224915859</v>
      </c>
      <c r="F39" s="23">
        <v>1795162.1993794846</v>
      </c>
      <c r="G39" s="22">
        <f t="shared" si="1"/>
        <v>1.0712198228220209E-2</v>
      </c>
      <c r="H39" s="24">
        <f t="shared" si="2"/>
        <v>1.0689356982699754E-2</v>
      </c>
      <c r="I39" s="24">
        <f>H39/V$2*(C39^2)/(2)</f>
        <v>5.883109180471628</v>
      </c>
      <c r="J39" s="24">
        <f>3.7*V$2*((10^(-1/(2*G39^0.5)))-(2.54/(F39*G39^0.5)))*1000</f>
        <v>6.8644167202196443E-4</v>
      </c>
      <c r="L39" s="21">
        <f>0.25/(LOG((ABS(N39)/V$2/3.7)+(5.74/(F39^0.9))))^2</f>
        <v>1.0950385466549464E-2</v>
      </c>
      <c r="M39" s="21">
        <f>L39/V$2*(C39^2)/(2)</f>
        <v>6.0267716170603043</v>
      </c>
      <c r="N39" s="21">
        <v>1.9999999999999999E-6</v>
      </c>
      <c r="O39" s="21">
        <f t="shared" si="3"/>
        <v>2E-3</v>
      </c>
      <c r="P39" s="25">
        <f t="shared" si="4"/>
        <v>312.32483474997531</v>
      </c>
      <c r="Q39" s="21">
        <f t="shared" si="0"/>
        <v>2E-3</v>
      </c>
      <c r="R39" s="21">
        <f t="shared" si="5"/>
        <v>4.0284135682040166E-3</v>
      </c>
      <c r="S39" s="21">
        <f t="shared" si="6"/>
        <v>1.1737089201877934E-5</v>
      </c>
      <c r="AA39" s="21">
        <v>1E-3</v>
      </c>
      <c r="AB39" s="21">
        <f t="shared" si="7"/>
        <v>3.1979254377369509E-2</v>
      </c>
      <c r="AC39" s="21">
        <f t="shared" si="8"/>
        <v>17.600445500756695</v>
      </c>
      <c r="AF39" s="21">
        <f t="shared" si="9"/>
        <v>0.10349974989448144</v>
      </c>
      <c r="AG39" s="21">
        <f>1/AF39</f>
        <v>9.6618590964664701</v>
      </c>
      <c r="AH39" s="21">
        <f>10^AG39</f>
        <v>4590490537.0822964</v>
      </c>
      <c r="AI39" s="21">
        <f>1/AH39</f>
        <v>2.1784164283139931E-10</v>
      </c>
      <c r="AJ39" s="21">
        <f>AI39^0.5</f>
        <v>1.4759459435609398E-5</v>
      </c>
      <c r="AK39" s="21">
        <f>AJ39-(2.51/F39*AF39)</f>
        <v>1.4614745842417125E-5</v>
      </c>
      <c r="AL39" s="21">
        <f>AK39*3.7*V$2*1000</f>
        <v>9.2143049587271493E-3</v>
      </c>
    </row>
    <row r="40" spans="1:39" x14ac:dyDescent="0.2">
      <c r="A40" s="22"/>
      <c r="B40" s="22"/>
      <c r="C40" s="22"/>
      <c r="D40" s="22"/>
      <c r="E40" s="22"/>
      <c r="F40" s="23"/>
      <c r="G40" s="22"/>
      <c r="H40" s="24"/>
      <c r="I40" s="24"/>
      <c r="J40" s="24"/>
      <c r="K40" s="21">
        <f>AVERAGE(J35:J39)</f>
        <v>-3.8419388821738245E-3</v>
      </c>
      <c r="P40" s="25">
        <f>AVERAGE(O35:O39)</f>
        <v>1.6400000000000002E-3</v>
      </c>
      <c r="Q40" s="21">
        <f>STDEV(O35:O39)</f>
        <v>8.0498447189992443E-4</v>
      </c>
      <c r="T40" s="21">
        <f>AVERAGE(S35:S39)</f>
        <v>9.6244131455399058E-6</v>
      </c>
      <c r="AL40" s="21" t="s">
        <v>119</v>
      </c>
      <c r="AM40" s="21">
        <f>AVERAGE(AL35:AL39)</f>
        <v>1.4332681551165924E-2</v>
      </c>
    </row>
    <row r="41" spans="1:39" x14ac:dyDescent="0.2">
      <c r="A41" s="22"/>
      <c r="B41" s="22"/>
      <c r="C41" s="22"/>
      <c r="D41" s="22"/>
      <c r="E41" s="22"/>
      <c r="F41" s="23"/>
      <c r="G41" s="22"/>
      <c r="H41" s="24"/>
      <c r="I41" s="24"/>
      <c r="J41" s="24"/>
      <c r="K41" s="21">
        <f>STDEV(J35:J39)</f>
        <v>5.6871041290356044E-3</v>
      </c>
      <c r="P41" s="25"/>
      <c r="AL41" s="21" t="s">
        <v>120</v>
      </c>
      <c r="AM41" s="21">
        <f>STDEV(AL35:AL39)</f>
        <v>5.7428196004953623E-3</v>
      </c>
    </row>
    <row r="42" spans="1:39" x14ac:dyDescent="0.2">
      <c r="A42" s="22"/>
      <c r="B42" s="22"/>
      <c r="C42" s="22"/>
      <c r="D42" s="22"/>
      <c r="E42" s="22"/>
      <c r="F42" s="23"/>
      <c r="G42" s="22"/>
      <c r="H42" s="24"/>
      <c r="I42" s="24"/>
      <c r="J42" s="24"/>
      <c r="P42" s="25"/>
    </row>
    <row r="43" spans="1:39" x14ac:dyDescent="0.2">
      <c r="A43" s="22" t="s">
        <v>85</v>
      </c>
      <c r="B43" s="22"/>
      <c r="C43" s="22"/>
      <c r="D43" s="22"/>
      <c r="E43" s="22"/>
      <c r="F43" s="23"/>
      <c r="G43" s="22"/>
      <c r="H43" s="24"/>
      <c r="I43" s="24"/>
      <c r="J43" s="24"/>
      <c r="P43" s="25"/>
    </row>
    <row r="44" spans="1:39" x14ac:dyDescent="0.2">
      <c r="A44" s="22" t="s">
        <v>85</v>
      </c>
      <c r="B44" s="22"/>
      <c r="C44" s="22"/>
      <c r="D44" s="22"/>
      <c r="E44" s="22"/>
      <c r="F44" s="23"/>
      <c r="G44" s="22"/>
      <c r="H44" s="24"/>
      <c r="I44" s="24"/>
      <c r="J44" s="24"/>
      <c r="P44" s="25"/>
    </row>
    <row r="45" spans="1:39" x14ac:dyDescent="0.2">
      <c r="A45" s="22" t="s">
        <v>85</v>
      </c>
      <c r="B45" s="22"/>
      <c r="C45" s="22"/>
      <c r="D45" s="22"/>
      <c r="E45" s="22"/>
      <c r="F45" s="23"/>
      <c r="G45" s="22"/>
      <c r="H45" s="24"/>
      <c r="I45" s="24"/>
      <c r="J45" s="24"/>
      <c r="P45" s="25"/>
    </row>
    <row r="46" spans="1:39" x14ac:dyDescent="0.2">
      <c r="A46" s="22" t="s">
        <v>85</v>
      </c>
      <c r="B46" s="22"/>
      <c r="C46" s="22"/>
      <c r="D46" s="22"/>
      <c r="E46" s="22"/>
      <c r="F46" s="23"/>
      <c r="G46" s="22"/>
      <c r="H46" s="24"/>
      <c r="I46" s="24"/>
      <c r="J46" s="24"/>
      <c r="P46" s="25"/>
    </row>
    <row r="47" spans="1:39" x14ac:dyDescent="0.2">
      <c r="A47" s="22" t="s">
        <v>85</v>
      </c>
      <c r="B47" s="22"/>
      <c r="C47" s="22"/>
      <c r="D47" s="22"/>
      <c r="E47" s="22"/>
      <c r="F47" s="23"/>
      <c r="G47" s="22"/>
      <c r="H47" s="24"/>
      <c r="I47" s="24"/>
      <c r="J47" s="24"/>
      <c r="P47" s="25"/>
    </row>
    <row r="48" spans="1:39" x14ac:dyDescent="0.2">
      <c r="A48" s="22"/>
      <c r="B48" s="22"/>
      <c r="C48" s="22"/>
      <c r="D48" s="22"/>
      <c r="E48" s="22"/>
      <c r="F48" s="23"/>
      <c r="G48" s="22"/>
      <c r="H48" s="24"/>
      <c r="I48" s="24"/>
      <c r="J48" s="24"/>
      <c r="P48" s="25"/>
    </row>
    <row r="49" spans="1:39" x14ac:dyDescent="0.2">
      <c r="A49" s="22"/>
      <c r="B49" s="22"/>
      <c r="C49" s="22"/>
      <c r="D49" s="22"/>
      <c r="E49" s="22"/>
      <c r="F49" s="23"/>
      <c r="G49" s="22"/>
      <c r="H49" s="24"/>
      <c r="I49" s="24"/>
      <c r="J49" s="24"/>
      <c r="P49" s="25"/>
    </row>
    <row r="50" spans="1:39" x14ac:dyDescent="0.2">
      <c r="A50" s="22"/>
      <c r="B50" s="22"/>
      <c r="C50" s="22"/>
      <c r="D50" s="22"/>
      <c r="E50" s="22"/>
      <c r="F50" s="23"/>
      <c r="G50" s="22"/>
      <c r="H50" s="24"/>
      <c r="I50" s="24"/>
      <c r="J50" s="24"/>
      <c r="P50" s="25"/>
    </row>
    <row r="51" spans="1:39" x14ac:dyDescent="0.2">
      <c r="A51" s="22" t="s">
        <v>86</v>
      </c>
      <c r="B51" s="22">
        <v>100.07433942026501</v>
      </c>
      <c r="C51" s="22">
        <v>1.2189648122579491</v>
      </c>
      <c r="D51" s="22">
        <v>1.4959270176248545</v>
      </c>
      <c r="E51" s="22">
        <v>1.3599336523862313</v>
      </c>
      <c r="F51" s="23">
        <v>159778.15692981117</v>
      </c>
      <c r="G51" s="22">
        <f t="shared" si="1"/>
        <v>0.30588321368146831</v>
      </c>
      <c r="H51" s="24">
        <f t="shared" si="2"/>
        <v>0.30609604628120374</v>
      </c>
      <c r="I51" s="24">
        <f>H51/V$2*(C51^2)/(2)</f>
        <v>1.3345672773669226</v>
      </c>
      <c r="J51" s="24">
        <f>3.7*V$2*((10^(-1/(2*G51^0.5)))-(2.54/(F51*G51^0.5)))*1000</f>
        <v>78.617960978162628</v>
      </c>
      <c r="L51" s="21">
        <f>0.25/(LOG((ABS(N51)/V$2/3.7)+(5.74/(F51^0.9))))^2</f>
        <v>0.30584202420191786</v>
      </c>
      <c r="M51" s="21">
        <f>L51/V$2*(C51^2)/(2)</f>
        <v>1.3334597506318917</v>
      </c>
      <c r="N51" s="21">
        <v>7.8549999999999995E-2</v>
      </c>
      <c r="O51" s="21">
        <f t="shared" si="3"/>
        <v>78.55</v>
      </c>
      <c r="P51" s="25">
        <f t="shared" si="4"/>
        <v>27.79842761674028</v>
      </c>
      <c r="Q51" s="21">
        <f t="shared" si="0"/>
        <v>78.55</v>
      </c>
      <c r="R51" s="21">
        <f t="shared" si="5"/>
        <v>461.37301043522672</v>
      </c>
      <c r="S51" s="21">
        <f t="shared" si="6"/>
        <v>0.46097417840375582</v>
      </c>
      <c r="AA51" s="21">
        <v>0.14499999999999999</v>
      </c>
      <c r="AB51" s="21">
        <f t="shared" si="7"/>
        <v>0.61403300631536673</v>
      </c>
      <c r="AC51" s="21">
        <f t="shared" si="8"/>
        <v>2.6771608696274947</v>
      </c>
      <c r="AF51" s="21">
        <f t="shared" si="9"/>
        <v>0.5530670969072996</v>
      </c>
      <c r="AG51" s="21">
        <f>1/AF51</f>
        <v>1.8080988827429947</v>
      </c>
      <c r="AH51" s="21">
        <f>10^AG51</f>
        <v>64.283406492763405</v>
      </c>
      <c r="AI51" s="21">
        <f>1/AH51</f>
        <v>1.5556114004514886E-2</v>
      </c>
      <c r="AJ51" s="21">
        <f>AI51^0.5</f>
        <v>0.12472415164880812</v>
      </c>
      <c r="AK51" s="21">
        <f>AJ51-(2.51/F51*AF51)</f>
        <v>0.12471546336224935</v>
      </c>
      <c r="AL51" s="21">
        <f>AK51*3.7*V$2*1000</f>
        <v>78.630605340630979</v>
      </c>
    </row>
    <row r="52" spans="1:39" x14ac:dyDescent="0.2">
      <c r="A52" s="22" t="s">
        <v>86</v>
      </c>
      <c r="B52" s="22">
        <v>247.818684424889</v>
      </c>
      <c r="C52" s="22">
        <v>3.0185785675326198</v>
      </c>
      <c r="D52" s="22">
        <v>6.312889454035286</v>
      </c>
      <c r="E52" s="22">
        <v>5.7389904127593505</v>
      </c>
      <c r="F52" s="23">
        <v>395665.99069812184</v>
      </c>
      <c r="G52" s="22">
        <f t="shared" si="1"/>
        <v>0.21049936623492951</v>
      </c>
      <c r="H52" s="24">
        <f t="shared" si="2"/>
        <v>0.21057910371051933</v>
      </c>
      <c r="I52" s="24">
        <f>H52/V$2*(C52^2)/(2)</f>
        <v>5.6301589382084583</v>
      </c>
      <c r="J52" s="24">
        <f>3.7*V$2*((10^(-1/(2*G52^0.5)))-(2.54/(F52*G52^0.5)))*1000</f>
        <v>51.262772834985881</v>
      </c>
      <c r="L52" s="21">
        <f>0.25/(LOG((ABS(N52)/V$2/3.7)+(5.74/(F52^0.9))))^2</f>
        <v>0.21037370212375686</v>
      </c>
      <c r="M52" s="21">
        <f>L52/V$2*(C52^2)/(2)</f>
        <v>5.6246672082159952</v>
      </c>
      <c r="N52" s="21">
        <v>5.1200000000000002E-2</v>
      </c>
      <c r="O52" s="21">
        <f t="shared" si="3"/>
        <v>51.2</v>
      </c>
      <c r="P52" s="25">
        <f t="shared" si="4"/>
        <v>68.838523451358057</v>
      </c>
      <c r="Q52" s="21">
        <f t="shared" si="0"/>
        <v>51.2</v>
      </c>
      <c r="R52" s="21">
        <f t="shared" si="5"/>
        <v>300.83786874991716</v>
      </c>
      <c r="S52" s="21">
        <f t="shared" si="6"/>
        <v>0.30046948356807512</v>
      </c>
      <c r="AA52" s="21">
        <v>0.14499999999999999</v>
      </c>
      <c r="AB52" s="21">
        <f t="shared" si="7"/>
        <v>0.61379178890719233</v>
      </c>
      <c r="AC52" s="21">
        <f t="shared" si="8"/>
        <v>16.410675445106659</v>
      </c>
      <c r="AF52" s="21">
        <f t="shared" si="9"/>
        <v>0.45880209920501619</v>
      </c>
      <c r="AG52" s="21">
        <f>1/AF52</f>
        <v>2.1795889812464631</v>
      </c>
      <c r="AH52" s="21">
        <f>10^AG52</f>
        <v>151.21294831340063</v>
      </c>
      <c r="AI52" s="21">
        <f>1/AH52</f>
        <v>6.6131902800243142E-3</v>
      </c>
      <c r="AJ52" s="21">
        <f>AI52^0.5</f>
        <v>8.132152408817922E-2</v>
      </c>
      <c r="AK52" s="21">
        <f>AJ52-(2.51/F52*AF52)</f>
        <v>8.1318613569468803E-2</v>
      </c>
      <c r="AL52" s="21">
        <f>AK52*3.7*V$2*1000</f>
        <v>51.26975948327869</v>
      </c>
    </row>
    <row r="53" spans="1:39" x14ac:dyDescent="0.2">
      <c r="A53" s="22" t="s">
        <v>86</v>
      </c>
      <c r="B53" s="22">
        <v>502.02438994143603</v>
      </c>
      <c r="C53" s="22">
        <v>6.1149548403609479</v>
      </c>
      <c r="D53" s="22">
        <v>25.20589732959424</v>
      </c>
      <c r="E53" s="22">
        <v>22.914452117812942</v>
      </c>
      <c r="F53" s="23">
        <v>801529.46522885037</v>
      </c>
      <c r="G53" s="22">
        <f t="shared" si="1"/>
        <v>0.20480626206478439</v>
      </c>
      <c r="H53" s="24">
        <f t="shared" si="2"/>
        <v>0.20484906871681857</v>
      </c>
      <c r="I53" s="24">
        <f>H53/V$2*(C53^2)/(2)</f>
        <v>22.476097944122312</v>
      </c>
      <c r="J53" s="24">
        <f>3.7*V$2*((10^(-1/(2*G53^0.5)))-(2.54/(F53*G53^0.5)))*1000</f>
        <v>49.521654331223559</v>
      </c>
      <c r="L53" s="21">
        <f>0.25/(LOG((ABS(N53)/V$2/3.7)+(5.74/(F53^0.9))))^2</f>
        <v>0.20477866854098389</v>
      </c>
      <c r="M53" s="21">
        <f>L53/V$2*(C53^2)/(2)</f>
        <v>22.468373616854166</v>
      </c>
      <c r="N53" s="21">
        <v>4.9500000000000002E-2</v>
      </c>
      <c r="O53" s="21">
        <f t="shared" si="3"/>
        <v>49.5</v>
      </c>
      <c r="P53" s="25">
        <f t="shared" si="4"/>
        <v>139.45121942817667</v>
      </c>
      <c r="Q53" s="21">
        <f t="shared" si="0"/>
        <v>49.5</v>
      </c>
      <c r="R53" s="21">
        <f t="shared" si="5"/>
        <v>290.62003715506785</v>
      </c>
      <c r="S53" s="21">
        <f t="shared" si="6"/>
        <v>0.29049295774647887</v>
      </c>
      <c r="AA53" s="21">
        <v>0.14499999999999999</v>
      </c>
      <c r="AB53" s="21">
        <f t="shared" si="7"/>
        <v>0.6137019005715979</v>
      </c>
      <c r="AC53" s="21">
        <f t="shared" si="8"/>
        <v>67.335546664405015</v>
      </c>
      <c r="AF53" s="21">
        <f t="shared" si="9"/>
        <v>0.45255525857599355</v>
      </c>
      <c r="AG53" s="21">
        <f>1/AF53</f>
        <v>2.2096749094167887</v>
      </c>
      <c r="AH53" s="21">
        <f>10^AG53</f>
        <v>162.05965477261776</v>
      </c>
      <c r="AI53" s="21">
        <f>1/AH53</f>
        <v>6.1705672605749861E-3</v>
      </c>
      <c r="AJ53" s="21">
        <f>AI53^0.5</f>
        <v>7.8552958318417174E-2</v>
      </c>
      <c r="AK53" s="21">
        <f>AJ53-(2.51/F53*AF53)</f>
        <v>7.8551541135707989E-2</v>
      </c>
      <c r="AL53" s="21">
        <f>AK53*3.7*V$2*1000</f>
        <v>49.525175655241171</v>
      </c>
    </row>
    <row r="54" spans="1:39" x14ac:dyDescent="0.2">
      <c r="A54" s="22" t="s">
        <v>86</v>
      </c>
      <c r="B54" s="22">
        <v>750.35915366380004</v>
      </c>
      <c r="C54" s="22">
        <v>9.1398195598442182</v>
      </c>
      <c r="D54" s="22">
        <v>55.549548405344581</v>
      </c>
      <c r="E54" s="22">
        <v>50.499589459404163</v>
      </c>
      <c r="F54" s="23">
        <v>1198019.4253826574</v>
      </c>
      <c r="G54" s="22">
        <f t="shared" si="1"/>
        <v>0.20203790912971545</v>
      </c>
      <c r="H54" s="24">
        <f t="shared" si="2"/>
        <v>0.20206795960539947</v>
      </c>
      <c r="I54" s="24">
        <f>H54/V$2*(C54^2)/(2)</f>
        <v>49.53054581739309</v>
      </c>
      <c r="J54" s="24">
        <f>3.7*V$2*((10^(-1/(2*G54^0.5)))-(2.54/(F54*G54^0.5)))*1000</f>
        <v>48.670269917767541</v>
      </c>
      <c r="L54" s="21">
        <f>0.25/(LOG((ABS(N54)/V$2/3.7)+(5.74/(F54^0.9))))^2</f>
        <v>0.20206708472487983</v>
      </c>
      <c r="M54" s="21">
        <f>L54/V$2*(C54^2)/(2)</f>
        <v>49.530331368206056</v>
      </c>
      <c r="N54" s="21">
        <v>4.8669999999999998E-2</v>
      </c>
      <c r="O54" s="21">
        <f t="shared" si="3"/>
        <v>48.669999999999995</v>
      </c>
      <c r="P54" s="25">
        <f t="shared" si="4"/>
        <v>208.43309823994448</v>
      </c>
      <c r="Q54" s="21">
        <f t="shared" si="0"/>
        <v>48.669999999999995</v>
      </c>
      <c r="R54" s="21">
        <f t="shared" si="5"/>
        <v>285.62364975215695</v>
      </c>
      <c r="S54" s="21">
        <f t="shared" si="6"/>
        <v>0.28562206572769949</v>
      </c>
      <c r="AA54" s="21">
        <v>0.14499999999999999</v>
      </c>
      <c r="AB54" s="21">
        <f t="shared" si="7"/>
        <v>0.61367116854168147</v>
      </c>
      <c r="AC54" s="21">
        <f t="shared" si="8"/>
        <v>150.42200648545921</v>
      </c>
      <c r="AF54" s="21">
        <f t="shared" si="9"/>
        <v>0.44948627245969974</v>
      </c>
      <c r="AG54" s="21">
        <f>1/AF54</f>
        <v>2.2247620478546617</v>
      </c>
      <c r="AH54" s="21">
        <f>10^AG54</f>
        <v>167.78844448441799</v>
      </c>
      <c r="AI54" s="21">
        <f>1/AH54</f>
        <v>5.9598859925831605E-3</v>
      </c>
      <c r="AJ54" s="21">
        <f>AI54^0.5</f>
        <v>7.7200297878849924E-2</v>
      </c>
      <c r="AK54" s="21">
        <f>AJ54-(2.51/F54*AF54)</f>
        <v>7.7199356149091652E-2</v>
      </c>
      <c r="AL54" s="21">
        <f>AK54*3.7*V$2*1000</f>
        <v>48.672650064879306</v>
      </c>
    </row>
    <row r="55" spans="1:39" x14ac:dyDescent="0.2">
      <c r="A55" s="22" t="s">
        <v>86</v>
      </c>
      <c r="B55" s="22">
        <v>1004.72634079642</v>
      </c>
      <c r="C55" s="22">
        <v>12.23816277453756</v>
      </c>
      <c r="D55" s="22">
        <v>96.478409526931472</v>
      </c>
      <c r="E55" s="22">
        <v>87.707645024483156</v>
      </c>
      <c r="F55" s="23">
        <v>1604140.7206009233</v>
      </c>
      <c r="G55" s="22">
        <f t="shared" si="1"/>
        <v>0.19571551789864056</v>
      </c>
      <c r="H55" s="24">
        <f t="shared" si="2"/>
        <v>0.19573856931025577</v>
      </c>
      <c r="I55" s="24">
        <f>H55/V$2*(C55^2)/(2)</f>
        <v>86.021948196487998</v>
      </c>
      <c r="J55" s="24">
        <f>3.7*V$2*((10^(-1/(2*G55^0.5)))-(2.54/(F55*G55^0.5)))*1000</f>
        <v>46.713773113564095</v>
      </c>
      <c r="L55" s="21">
        <f>0.25/(LOG((ABS(N55)/V$2/3.7)+(5.74/(F55^0.9))))^2</f>
        <v>0.19569422388894342</v>
      </c>
      <c r="M55" s="21">
        <f>L55/V$2*(C55^2)/(2)</f>
        <v>86.002459551259179</v>
      </c>
      <c r="N55" s="21">
        <v>4.6699999999999998E-2</v>
      </c>
      <c r="O55" s="21">
        <f t="shared" si="3"/>
        <v>46.699999999999996</v>
      </c>
      <c r="P55" s="25">
        <f t="shared" si="4"/>
        <v>279.0906502212278</v>
      </c>
      <c r="Q55" s="21">
        <f t="shared" si="0"/>
        <v>46.699999999999996</v>
      </c>
      <c r="R55" s="21">
        <f t="shared" si="5"/>
        <v>274.14186099509448</v>
      </c>
      <c r="S55" s="21">
        <f t="shared" si="6"/>
        <v>0.27406103286384975</v>
      </c>
      <c r="AA55" s="21">
        <v>0.14499999999999999</v>
      </c>
      <c r="AB55" s="21">
        <f t="shared" si="7"/>
        <v>0.61365487533173746</v>
      </c>
      <c r="AC55" s="21">
        <f t="shared" si="8"/>
        <v>269.68516262442705</v>
      </c>
      <c r="AF55" s="21">
        <f t="shared" si="9"/>
        <v>0.44239746597221885</v>
      </c>
      <c r="AG55" s="21">
        <f>1/AF55</f>
        <v>2.2604107774496085</v>
      </c>
      <c r="AH55" s="21">
        <f>10^AG55</f>
        <v>182.14228369636049</v>
      </c>
      <c r="AI55" s="21">
        <f>1/AH55</f>
        <v>5.4902133634551643E-3</v>
      </c>
      <c r="AJ55" s="21">
        <f>AI55^0.5</f>
        <v>7.4095974003012904E-2</v>
      </c>
      <c r="AK55" s="21">
        <f>AJ55-(2.51/F55*AF55)</f>
        <v>7.4095281783418121E-2</v>
      </c>
      <c r="AL55" s="21">
        <f>AK55*3.7*V$2*1000</f>
        <v>46.715593258809463</v>
      </c>
    </row>
    <row r="56" spans="1:39" x14ac:dyDescent="0.2">
      <c r="A56" s="22"/>
      <c r="B56" s="22"/>
      <c r="C56" s="22"/>
      <c r="D56" s="22"/>
      <c r="E56" s="22"/>
      <c r="F56" s="23"/>
      <c r="G56" s="22"/>
      <c r="H56" s="24"/>
      <c r="I56" s="24"/>
      <c r="J56" s="24"/>
      <c r="K56" s="21">
        <f>AVERAGE(J51:J55)</f>
        <v>54.957286235140749</v>
      </c>
      <c r="P56" s="25">
        <f>AVERAGE(O51:O55)</f>
        <v>54.923999999999999</v>
      </c>
      <c r="Q56" s="21">
        <f>STDEV(O51:O55)</f>
        <v>13.306225234828974</v>
      </c>
      <c r="T56" s="21">
        <f>AVERAGE(S51:S55)</f>
        <v>0.32232394366197187</v>
      </c>
      <c r="AL56" s="21" t="s">
        <v>119</v>
      </c>
      <c r="AM56" s="21">
        <f>AVERAGE(AL51:AL55)</f>
        <v>54.962756760567927</v>
      </c>
    </row>
    <row r="57" spans="1:39" x14ac:dyDescent="0.2">
      <c r="A57" s="22"/>
      <c r="B57" s="22"/>
      <c r="C57" s="22"/>
      <c r="D57" s="22"/>
      <c r="E57" s="22"/>
      <c r="F57" s="23"/>
      <c r="G57" s="22"/>
      <c r="H57" s="24"/>
      <c r="I57" s="24"/>
      <c r="J57" s="24"/>
      <c r="K57" s="21">
        <f>STDEV(J51:J55)</f>
        <v>13.327651101323131</v>
      </c>
      <c r="P57" s="25"/>
      <c r="AL57" s="21" t="s">
        <v>120</v>
      </c>
      <c r="AM57" s="21">
        <f>STDEV(AL51:AL55)</f>
        <v>13.33185772542358</v>
      </c>
    </row>
    <row r="58" spans="1:39" x14ac:dyDescent="0.2">
      <c r="A58" s="22"/>
      <c r="B58" s="22"/>
      <c r="C58" s="22"/>
      <c r="D58" s="22"/>
      <c r="E58" s="22"/>
      <c r="F58" s="23"/>
      <c r="G58" s="22"/>
      <c r="H58" s="24"/>
      <c r="I58" s="24"/>
      <c r="J58" s="24"/>
      <c r="P58" s="25"/>
    </row>
    <row r="59" spans="1:39" x14ac:dyDescent="0.2">
      <c r="A59" s="22" t="s">
        <v>87</v>
      </c>
      <c r="B59" s="22">
        <v>59.916647268906999</v>
      </c>
      <c r="C59" s="22">
        <v>0.72982030271067821</v>
      </c>
      <c r="D59" s="22">
        <v>1.07690501874056</v>
      </c>
      <c r="E59" s="22">
        <v>0.9790045624914181</v>
      </c>
      <c r="F59" s="23">
        <v>95662.599678384271</v>
      </c>
      <c r="G59" s="22">
        <f t="shared" si="1"/>
        <v>0.61428950556802497</v>
      </c>
      <c r="H59" s="24">
        <f t="shared" si="2"/>
        <v>0.61485302960839883</v>
      </c>
      <c r="I59" s="24">
        <f>H59/V$2*(C59^2)/(2)</f>
        <v>0.96095624323764184</v>
      </c>
      <c r="J59" s="24">
        <f>3.7*V$2*((10^(-1/(2*G59^0.5)))-(2.54/(F59*G59^0.5)))*1000</f>
        <v>145.09821482622135</v>
      </c>
      <c r="L59" s="21">
        <f>0.25/(LOG((ABS(N59)/V$2/3.7)+(5.74/(F59^0.9))))^2</f>
        <v>0.6148517906126163</v>
      </c>
      <c r="M59" s="21">
        <f>L59/V$2*(C59^2)/(2)</f>
        <v>0.96095430680620986</v>
      </c>
      <c r="N59" s="21">
        <v>0.145098</v>
      </c>
      <c r="O59" s="21">
        <f t="shared" si="3"/>
        <v>145.09800000000001</v>
      </c>
      <c r="P59" s="25">
        <f t="shared" si="4"/>
        <v>16.643513130251943</v>
      </c>
      <c r="Q59" s="21">
        <f t="shared" si="0"/>
        <v>145.09800000000001</v>
      </c>
      <c r="R59" s="21">
        <f t="shared" si="5"/>
        <v>851.5153452243037</v>
      </c>
      <c r="S59" s="21">
        <f t="shared" si="6"/>
        <v>0.85151408450704236</v>
      </c>
      <c r="AA59" s="21">
        <v>0.245</v>
      </c>
      <c r="AB59" s="21">
        <f t="shared" si="7"/>
        <v>1.4850782550186303</v>
      </c>
      <c r="AC59" s="21">
        <f t="shared" si="8"/>
        <v>2.3210347060752641</v>
      </c>
      <c r="AF59" s="21">
        <f t="shared" si="9"/>
        <v>0.78376623145426783</v>
      </c>
      <c r="AG59" s="21">
        <f>1/AF59</f>
        <v>1.2758906417089613</v>
      </c>
      <c r="AH59" s="21">
        <f>10^AG59</f>
        <v>18.875159999420703</v>
      </c>
      <c r="AI59" s="21">
        <f>1/AH59</f>
        <v>5.2979683352654544E-2</v>
      </c>
      <c r="AJ59" s="21">
        <f>AI59^0.5</f>
        <v>0.23017315949661582</v>
      </c>
      <c r="AK59" s="21">
        <f>AJ59-(2.51/F59*AF59)</f>
        <v>0.23015259499964874</v>
      </c>
      <c r="AL59" s="21">
        <f>AK59*3.7*V$2*1000</f>
        <v>145.10660809537853</v>
      </c>
    </row>
    <row r="60" spans="1:39" x14ac:dyDescent="0.2">
      <c r="A60" s="22" t="s">
        <v>87</v>
      </c>
      <c r="B60" s="22">
        <v>211.85657205053801</v>
      </c>
      <c r="C60" s="22">
        <v>2.5805387082365496</v>
      </c>
      <c r="D60" s="22">
        <v>10.230566180702599</v>
      </c>
      <c r="E60" s="22">
        <v>9.3005147097296348</v>
      </c>
      <c r="F60" s="23">
        <v>338249.07375654468</v>
      </c>
      <c r="G60" s="22">
        <f t="shared" si="1"/>
        <v>0.46677382012971297</v>
      </c>
      <c r="H60" s="24">
        <f t="shared" si="2"/>
        <v>0.46692210734895112</v>
      </c>
      <c r="I60" s="24">
        <f>H60/V$2*(C60^2)/(2)</f>
        <v>9.1235867674656905</v>
      </c>
      <c r="J60" s="24">
        <f>3.7*V$2*((10^(-1/(2*G60^0.5)))-(2.54/(F60*G60^0.5)))*1000</f>
        <v>116.8973137256047</v>
      </c>
      <c r="L60" s="21">
        <f>0.25/(LOG((ABS(N60)/V$2/3.7)+(5.74/(F60^0.9))))^2</f>
        <v>0.46692062033866438</v>
      </c>
      <c r="M60" s="21">
        <f>L60/V$2*(C60^2)/(2)</f>
        <v>9.1235577115114719</v>
      </c>
      <c r="N60" s="21">
        <v>0.116897</v>
      </c>
      <c r="O60" s="21">
        <f t="shared" si="3"/>
        <v>116.89700000000001</v>
      </c>
      <c r="P60" s="25">
        <f t="shared" si="4"/>
        <v>58.849047791816112</v>
      </c>
      <c r="Q60" s="21">
        <f t="shared" si="0"/>
        <v>116.89700000000001</v>
      </c>
      <c r="R60" s="21">
        <f t="shared" si="5"/>
        <v>686.01709932866606</v>
      </c>
      <c r="S60" s="21">
        <f t="shared" si="6"/>
        <v>0.68601525821596243</v>
      </c>
      <c r="AA60" s="21">
        <v>0.245</v>
      </c>
      <c r="AB60" s="21">
        <f t="shared" si="7"/>
        <v>1.4840412252514668</v>
      </c>
      <c r="AC60" s="21">
        <f t="shared" si="8"/>
        <v>28.99793921078787</v>
      </c>
      <c r="AF60" s="21">
        <f t="shared" si="9"/>
        <v>0.68320847486672254</v>
      </c>
      <c r="AG60" s="21">
        <f>1/AF60</f>
        <v>1.4636820777070656</v>
      </c>
      <c r="AH60" s="21">
        <f>10^AG60</f>
        <v>29.085871273075195</v>
      </c>
      <c r="AI60" s="21">
        <f>1/AH60</f>
        <v>3.4380953921284124E-2</v>
      </c>
      <c r="AJ60" s="21">
        <f>AI60^0.5</f>
        <v>0.18542101801382746</v>
      </c>
      <c r="AK60" s="21">
        <f>AJ60-(2.51/F60*AF60)</f>
        <v>0.18541594821939206</v>
      </c>
      <c r="AL60" s="21">
        <f>AK60*3.7*V$2*1000</f>
        <v>116.90104703336232</v>
      </c>
    </row>
    <row r="61" spans="1:39" x14ac:dyDescent="0.2">
      <c r="A61" s="22" t="s">
        <v>87</v>
      </c>
      <c r="B61" s="22">
        <v>402.489403672148</v>
      </c>
      <c r="C61" s="22">
        <v>4.9025596693939635</v>
      </c>
      <c r="D61" s="22">
        <v>34.920120360354197</v>
      </c>
      <c r="E61" s="22">
        <v>31.745563963958357</v>
      </c>
      <c r="F61" s="23">
        <v>642612.43666517793</v>
      </c>
      <c r="G61" s="22">
        <f t="shared" si="1"/>
        <v>0.44142561631575145</v>
      </c>
      <c r="H61" s="24">
        <f t="shared" si="2"/>
        <v>0.44150652584922151</v>
      </c>
      <c r="I61" s="24">
        <f>H61/V$2*(C61^2)/(2)</f>
        <v>31.137469670234474</v>
      </c>
      <c r="J61" s="24">
        <f>3.7*V$2*((10^(-1/(2*G61^0.5)))-(2.54/(F61*G61^0.5)))*1000</f>
        <v>111.4542190816031</v>
      </c>
      <c r="L61" s="21">
        <f>0.25/(LOG((ABS(N61)/V$2/3.7)+(5.74/(F61^0.9))))^2</f>
        <v>0.44148723808805923</v>
      </c>
      <c r="M61" s="21">
        <f>L61/V$2*(C61^2)/(2)</f>
        <v>31.136109391183009</v>
      </c>
      <c r="N61" s="21">
        <v>0.11144999999999999</v>
      </c>
      <c r="O61" s="21">
        <f t="shared" si="3"/>
        <v>111.44999999999999</v>
      </c>
      <c r="P61" s="25">
        <f t="shared" si="4"/>
        <v>111.80261213115223</v>
      </c>
      <c r="Q61" s="21">
        <f t="shared" si="0"/>
        <v>111.44999999999999</v>
      </c>
      <c r="R61" s="21">
        <f t="shared" si="5"/>
        <v>654.07405564321073</v>
      </c>
      <c r="S61" s="21">
        <f t="shared" si="6"/>
        <v>0.65404929577464777</v>
      </c>
      <c r="AA61" s="21">
        <v>0.245</v>
      </c>
      <c r="AB61" s="21">
        <f t="shared" si="7"/>
        <v>1.4838263277113124</v>
      </c>
      <c r="AC61" s="21">
        <f t="shared" si="8"/>
        <v>104.64759764566875</v>
      </c>
      <c r="AF61" s="21">
        <f t="shared" si="9"/>
        <v>0.66439868777395361</v>
      </c>
      <c r="AG61" s="21">
        <f>1/AF61</f>
        <v>1.5051203718515276</v>
      </c>
      <c r="AH61" s="21">
        <f>10^AG61</f>
        <v>31.997818589147975</v>
      </c>
      <c r="AI61" s="21">
        <f>1/AH61</f>
        <v>3.1252130429264606E-2</v>
      </c>
      <c r="AJ61" s="21">
        <f>AI61^0.5</f>
        <v>0.17678272095786005</v>
      </c>
      <c r="AK61" s="21">
        <f>AJ61-(2.51/F61*AF61)</f>
        <v>0.17678012586226094</v>
      </c>
      <c r="AL61" s="21">
        <f>AK61*3.7*V$2*1000</f>
        <v>111.45633375363828</v>
      </c>
    </row>
    <row r="62" spans="1:39" x14ac:dyDescent="0.2">
      <c r="A62" s="22" t="s">
        <v>87</v>
      </c>
      <c r="B62" s="22">
        <v>549.27837332180502</v>
      </c>
      <c r="C62" s="22">
        <v>6.6905363861735552</v>
      </c>
      <c r="D62" s="22">
        <v>64.295477011657894</v>
      </c>
      <c r="E62" s="22">
        <v>58.45043364696172</v>
      </c>
      <c r="F62" s="23">
        <v>876974.92323382583</v>
      </c>
      <c r="G62" s="22">
        <f t="shared" si="1"/>
        <v>0.43640139016266632</v>
      </c>
      <c r="H62" s="24">
        <f t="shared" si="2"/>
        <v>0.43646243112452698</v>
      </c>
      <c r="I62" s="24">
        <f>H62/V$2*(C62^2)/(2)</f>
        <v>57.328312098936273</v>
      </c>
      <c r="J62" s="24">
        <f>3.7*V$2*((10^(-1/(2*G62^0.5)))-(2.54/(F62*G62^0.5)))*1000</f>
        <v>110.35209663454609</v>
      </c>
      <c r="L62" s="21">
        <f>0.25/(LOG((ABS(N62)/V$2/3.7)+(5.74/(F62^0.9))))^2</f>
        <v>0.43646199254083234</v>
      </c>
      <c r="M62" s="21">
        <f>L62/V$2*(C62^2)/(2)</f>
        <v>57.3282544920012</v>
      </c>
      <c r="N62" s="21">
        <v>0.11035200000000001</v>
      </c>
      <c r="O62" s="21">
        <f t="shared" si="3"/>
        <v>110.352</v>
      </c>
      <c r="P62" s="25">
        <f t="shared" si="4"/>
        <v>152.57732592272362</v>
      </c>
      <c r="Q62" s="21">
        <f t="shared" si="0"/>
        <v>110.352</v>
      </c>
      <c r="R62" s="21">
        <f t="shared" si="5"/>
        <v>647.60620090696057</v>
      </c>
      <c r="S62" s="21">
        <f t="shared" si="6"/>
        <v>0.64760563380281688</v>
      </c>
      <c r="AA62" s="21">
        <v>0.245</v>
      </c>
      <c r="AB62" s="21">
        <f t="shared" si="7"/>
        <v>1.4837592316354664</v>
      </c>
      <c r="AC62" s="21">
        <f t="shared" si="8"/>
        <v>194.88827959767067</v>
      </c>
      <c r="AF62" s="21">
        <f t="shared" si="9"/>
        <v>0.6606068347834938</v>
      </c>
      <c r="AG62" s="21">
        <f>1/AF62</f>
        <v>1.5137596938846967</v>
      </c>
      <c r="AH62" s="21">
        <f>10^AG62</f>
        <v>32.640717285532212</v>
      </c>
      <c r="AI62" s="21">
        <f>1/AH62</f>
        <v>3.0636581642868602E-2</v>
      </c>
      <c r="AJ62" s="21">
        <f>AI62^0.5</f>
        <v>0.1750330872802871</v>
      </c>
      <c r="AK62" s="21">
        <f>AJ62-(2.51/F62*AF62)</f>
        <v>0.17503119654987809</v>
      </c>
      <c r="AL62" s="21">
        <f>AK62*3.7*V$2*1000</f>
        <v>110.35366880076714</v>
      </c>
    </row>
    <row r="63" spans="1:39" x14ac:dyDescent="0.2">
      <c r="A63" s="22" t="s">
        <v>87</v>
      </c>
      <c r="B63" s="22">
        <v>695.06193906975204</v>
      </c>
      <c r="C63" s="22">
        <v>8.4662666870847954</v>
      </c>
      <c r="D63" s="22">
        <v>101.90109328742</v>
      </c>
      <c r="E63" s="22">
        <v>92.637357534018165</v>
      </c>
      <c r="F63" s="23">
        <v>1109732.18729173</v>
      </c>
      <c r="G63" s="22">
        <f t="shared" si="1"/>
        <v>0.43193911171885163</v>
      </c>
      <c r="H63" s="24">
        <f t="shared" si="2"/>
        <v>0.43198836535402008</v>
      </c>
      <c r="I63" s="24">
        <f>H63/V$2*(C63^2)/(2)</f>
        <v>90.856573339617682</v>
      </c>
      <c r="J63" s="24">
        <f>3.7*V$2*((10^(-1/(2*G63^0.5)))-(2.54/(F63*G63^0.5)))*1000</f>
        <v>109.3662207979549</v>
      </c>
      <c r="L63" s="21">
        <f>0.25/(LOG((ABS(N63)/V$2/3.7)+(5.74/(F63^0.9))))^2</f>
        <v>0.43198736969228685</v>
      </c>
      <c r="M63" s="21">
        <f>L63/V$2*(C63^2)/(2)</f>
        <v>90.856363930243404</v>
      </c>
      <c r="N63" s="21">
        <v>0.109366</v>
      </c>
      <c r="O63" s="21">
        <f t="shared" si="3"/>
        <v>109.366</v>
      </c>
      <c r="P63" s="25">
        <f t="shared" si="4"/>
        <v>193.07276085270888</v>
      </c>
      <c r="Q63" s="21">
        <f t="shared" si="0"/>
        <v>109.366</v>
      </c>
      <c r="R63" s="21">
        <f t="shared" si="5"/>
        <v>641.8205445889372</v>
      </c>
      <c r="S63" s="21">
        <f t="shared" si="6"/>
        <v>0.64181924882629104</v>
      </c>
      <c r="AA63" s="21">
        <v>0.245</v>
      </c>
      <c r="AB63" s="21">
        <f t="shared" si="7"/>
        <v>1.4837195643774828</v>
      </c>
      <c r="AC63" s="21">
        <f t="shared" si="8"/>
        <v>312.05857895226734</v>
      </c>
      <c r="AF63" s="21">
        <f t="shared" si="9"/>
        <v>0.6572207480891421</v>
      </c>
      <c r="AG63" s="21">
        <f>1/AF63</f>
        <v>1.5215587805276729</v>
      </c>
      <c r="AH63" s="21">
        <f>10^AG63</f>
        <v>33.232176097614264</v>
      </c>
      <c r="AI63" s="21">
        <f>1/AH63</f>
        <v>3.0091318638378002E-2</v>
      </c>
      <c r="AJ63" s="21">
        <f>AI63^0.5</f>
        <v>0.17346849465645917</v>
      </c>
      <c r="AK63" s="21">
        <f>AJ63-(2.51/F63*AF63)</f>
        <v>0.17346700814998797</v>
      </c>
      <c r="AL63" s="21">
        <f>AK63*3.7*V$2*1000</f>
        <v>109.36747929840442</v>
      </c>
    </row>
    <row r="64" spans="1:39" x14ac:dyDescent="0.2">
      <c r="K64" s="21">
        <f>AVERAGE(J59:J63)</f>
        <v>118.63361301318605</v>
      </c>
      <c r="P64" s="21">
        <f>AVERAGE(O59:O63)</f>
        <v>118.6326</v>
      </c>
      <c r="Q64" s="21">
        <f>STDEV(O59:O63)</f>
        <v>15.078607853512278</v>
      </c>
      <c r="T64" s="21">
        <f>AVERAGE(S59:S63)</f>
        <v>0.69620070422535218</v>
      </c>
      <c r="AL64" s="21" t="s">
        <v>119</v>
      </c>
      <c r="AM64" s="21">
        <f>AVERAGE(AL59:AL63)</f>
        <v>118.63702739631012</v>
      </c>
    </row>
    <row r="65" spans="1:39" x14ac:dyDescent="0.2">
      <c r="K65" s="21">
        <f>STDEV(J59:J63)</f>
        <v>15.078143565804087</v>
      </c>
      <c r="AL65" s="21" t="s">
        <v>120</v>
      </c>
      <c r="AM65" s="21">
        <f>STDEV(AL59:AL63)</f>
        <v>15.081058011266213</v>
      </c>
    </row>
    <row r="66" spans="1:39" ht="15" x14ac:dyDescent="0.25">
      <c r="A66" s="31" t="s">
        <v>0</v>
      </c>
      <c r="B66" s="31" t="s">
        <v>1</v>
      </c>
      <c r="C66" s="31" t="s">
        <v>2</v>
      </c>
      <c r="D66" s="31" t="s">
        <v>3</v>
      </c>
      <c r="E66" s="31" t="s">
        <v>4</v>
      </c>
      <c r="F66" s="32" t="s">
        <v>5</v>
      </c>
    </row>
    <row r="67" spans="1:39" ht="15" x14ac:dyDescent="0.25">
      <c r="A67">
        <f>E67*B67</f>
        <v>2.5085441409725903E-2</v>
      </c>
      <c r="B67">
        <v>1.1000000000000001</v>
      </c>
      <c r="C67">
        <v>9.8066499999999994</v>
      </c>
      <c r="D67">
        <v>0.1704</v>
      </c>
      <c r="E67">
        <f>PI()*D67*D67/4</f>
        <v>2.2804946736114454E-2</v>
      </c>
      <c r="F67">
        <v>1.3E-6</v>
      </c>
    </row>
    <row r="68" spans="1:39" ht="15" x14ac:dyDescent="0.25">
      <c r="A68" t="s">
        <v>96</v>
      </c>
      <c r="B68"/>
      <c r="C68"/>
      <c r="D68"/>
      <c r="E68"/>
      <c r="F68"/>
      <c r="I68"/>
      <c r="N68"/>
    </row>
    <row r="69" spans="1:39" ht="15" x14ac:dyDescent="0.25">
      <c r="A69" s="59" t="s">
        <v>97</v>
      </c>
      <c r="B69" s="59"/>
      <c r="C69"/>
      <c r="D69"/>
      <c r="E69"/>
      <c r="F69"/>
    </row>
    <row r="70" spans="1:39" ht="15" x14ac:dyDescent="0.25">
      <c r="A70"/>
      <c r="B70"/>
      <c r="C70"/>
      <c r="D70"/>
      <c r="E70"/>
      <c r="F70"/>
    </row>
    <row r="71" spans="1:39" ht="15" x14ac:dyDescent="0.25">
      <c r="A71" s="59" t="s">
        <v>98</v>
      </c>
      <c r="B71" s="59"/>
      <c r="C71"/>
      <c r="D71"/>
      <c r="E71" t="s">
        <v>105</v>
      </c>
      <c r="F71" t="s">
        <v>106</v>
      </c>
    </row>
    <row r="72" spans="1:39" ht="15" x14ac:dyDescent="0.25">
      <c r="A72"/>
      <c r="B72"/>
      <c r="C72"/>
      <c r="D72"/>
      <c r="E72"/>
      <c r="F72"/>
    </row>
    <row r="73" spans="1:39" ht="15" x14ac:dyDescent="0.25">
      <c r="A73"/>
      <c r="B73"/>
      <c r="C73"/>
      <c r="D73"/>
      <c r="E73"/>
      <c r="F73"/>
      <c r="G73"/>
      <c r="H73"/>
      <c r="I73"/>
      <c r="J73"/>
      <c r="K73"/>
      <c r="L73"/>
      <c r="M73"/>
      <c r="N73"/>
      <c r="O73"/>
      <c r="P73"/>
    </row>
    <row r="74" spans="1:39" ht="15" x14ac:dyDescent="0.25">
      <c r="A74"/>
      <c r="B74"/>
      <c r="C74"/>
      <c r="D74"/>
      <c r="E74"/>
      <c r="F74"/>
      <c r="G74"/>
      <c r="H74"/>
      <c r="I74"/>
      <c r="J74"/>
      <c r="K74"/>
      <c r="L74"/>
      <c r="M74"/>
      <c r="N74"/>
      <c r="O74"/>
      <c r="P74"/>
    </row>
    <row r="75" spans="1:39" ht="15" x14ac:dyDescent="0.25">
      <c r="A75"/>
      <c r="B75"/>
      <c r="C75"/>
      <c r="D75"/>
      <c r="E75"/>
      <c r="F75"/>
      <c r="G75"/>
      <c r="H75"/>
      <c r="I75"/>
      <c r="J75"/>
      <c r="K75"/>
      <c r="L75"/>
      <c r="M75"/>
    </row>
    <row r="76" spans="1:39" ht="15" x14ac:dyDescent="0.25">
      <c r="A76"/>
      <c r="B76"/>
      <c r="C76"/>
      <c r="D76" t="s">
        <v>88</v>
      </c>
      <c r="E76"/>
      <c r="F76"/>
      <c r="G76"/>
      <c r="H76" t="s">
        <v>89</v>
      </c>
      <c r="I76" t="s">
        <v>19</v>
      </c>
      <c r="J76" t="s">
        <v>20</v>
      </c>
      <c r="K76" t="s">
        <v>21</v>
      </c>
    </row>
    <row r="77" spans="1:39" ht="15" x14ac:dyDescent="0.25">
      <c r="D77" t="s">
        <v>27</v>
      </c>
      <c r="E77">
        <f>E78*E79</f>
        <v>441</v>
      </c>
      <c r="F77"/>
      <c r="G77" s="33">
        <v>100</v>
      </c>
      <c r="H77">
        <v>40</v>
      </c>
      <c r="I77">
        <f>E87*G77/100</f>
        <v>8.8668311054918318E-4</v>
      </c>
      <c r="J77" s="34">
        <f>I77/A$67*100</f>
        <v>3.5346522154695128</v>
      </c>
      <c r="K77" s="9">
        <f>E$78*E$80*(G77/100)/1000/E$67</f>
        <v>7.3668227312257315</v>
      </c>
      <c r="L77" t="s">
        <v>90</v>
      </c>
    </row>
    <row r="78" spans="1:39" ht="15" x14ac:dyDescent="0.25">
      <c r="D78" t="s">
        <v>28</v>
      </c>
      <c r="E78">
        <v>21</v>
      </c>
      <c r="F78"/>
      <c r="G78" s="33">
        <v>100</v>
      </c>
      <c r="H78">
        <v>30</v>
      </c>
      <c r="I78">
        <f t="shared" ref="I78:I80" si="10">E88*G78/100</f>
        <v>6.6501233291188749E-4</v>
      </c>
      <c r="J78" s="34">
        <f t="shared" ref="J78:J83" si="11">I78/A$67*100</f>
        <v>2.6509891616021348</v>
      </c>
      <c r="K78" s="9">
        <f t="shared" ref="K78:K84" si="12">E$78*E$80*(G78/100)/1000/E$67</f>
        <v>7.3668227312257315</v>
      </c>
      <c r="L78" t="s">
        <v>91</v>
      </c>
    </row>
    <row r="79" spans="1:39" ht="15" x14ac:dyDescent="0.25">
      <c r="D79" t="s">
        <v>32</v>
      </c>
      <c r="E79">
        <v>21</v>
      </c>
      <c r="F79"/>
      <c r="G79">
        <v>100</v>
      </c>
      <c r="H79">
        <v>20</v>
      </c>
      <c r="I79">
        <f t="shared" si="10"/>
        <v>4.4334155527459159E-4</v>
      </c>
      <c r="J79" s="34">
        <f t="shared" si="11"/>
        <v>1.7673261077347564</v>
      </c>
      <c r="K79" s="9">
        <f t="shared" si="12"/>
        <v>7.3668227312257315</v>
      </c>
      <c r="L79"/>
    </row>
    <row r="80" spans="1:39" ht="15" x14ac:dyDescent="0.25">
      <c r="D80" t="s">
        <v>33</v>
      </c>
      <c r="E80">
        <v>8</v>
      </c>
      <c r="F80" t="s">
        <v>34</v>
      </c>
      <c r="G80" s="11">
        <v>100</v>
      </c>
      <c r="H80" s="11">
        <v>0</v>
      </c>
      <c r="I80">
        <f t="shared" si="10"/>
        <v>0</v>
      </c>
      <c r="J80" s="34">
        <f t="shared" si="11"/>
        <v>0</v>
      </c>
      <c r="K80" s="9">
        <f t="shared" si="12"/>
        <v>7.3668227312257315</v>
      </c>
      <c r="L80" t="s">
        <v>92</v>
      </c>
    </row>
    <row r="81" spans="4:12" ht="15" x14ac:dyDescent="0.25">
      <c r="D81" t="s">
        <v>35</v>
      </c>
      <c r="E81">
        <v>170.4</v>
      </c>
      <c r="F81" t="s">
        <v>34</v>
      </c>
      <c r="G81">
        <v>50</v>
      </c>
      <c r="H81">
        <v>40</v>
      </c>
      <c r="I81">
        <f>E87*G81/100</f>
        <v>4.4334155527459159E-4</v>
      </c>
      <c r="J81" s="34">
        <f t="shared" si="11"/>
        <v>1.7673261077347564</v>
      </c>
      <c r="K81" s="9">
        <f t="shared" si="12"/>
        <v>3.6834113656128658</v>
      </c>
      <c r="L81" t="s">
        <v>93</v>
      </c>
    </row>
    <row r="82" spans="4:12" ht="15" x14ac:dyDescent="0.25">
      <c r="D82" t="s">
        <v>36</v>
      </c>
      <c r="E82">
        <f>2*PI()*E81/2</f>
        <v>535.32738817170082</v>
      </c>
      <c r="F82" t="s">
        <v>34</v>
      </c>
      <c r="G82">
        <v>50</v>
      </c>
      <c r="H82">
        <v>30</v>
      </c>
      <c r="I82">
        <f t="shared" ref="I82:I84" si="13">E88*G82/100</f>
        <v>3.3250616645594375E-4</v>
      </c>
      <c r="J82" s="34">
        <f t="shared" si="11"/>
        <v>1.3254945808010674</v>
      </c>
      <c r="K82" s="9">
        <f t="shared" si="12"/>
        <v>3.6834113656128658</v>
      </c>
      <c r="L82" t="s">
        <v>95</v>
      </c>
    </row>
    <row r="83" spans="4:12" ht="15" x14ac:dyDescent="0.25">
      <c r="D83" t="s">
        <v>37</v>
      </c>
      <c r="E83">
        <f>E82/E78</f>
        <v>25.491780389128611</v>
      </c>
      <c r="F83">
        <v>22</v>
      </c>
      <c r="G83">
        <v>50</v>
      </c>
      <c r="H83">
        <v>20</v>
      </c>
      <c r="I83">
        <f t="shared" si="13"/>
        <v>2.2167077763729579E-4</v>
      </c>
      <c r="J83" s="34">
        <f t="shared" si="11"/>
        <v>0.8836630538673782</v>
      </c>
      <c r="K83" s="9">
        <f t="shared" si="12"/>
        <v>3.6834113656128658</v>
      </c>
      <c r="L83" t="s">
        <v>94</v>
      </c>
    </row>
    <row r="84" spans="4:12" ht="15" x14ac:dyDescent="0.25">
      <c r="D84" t="s">
        <v>38</v>
      </c>
      <c r="E84">
        <f>PI()*(E80/2)^2</f>
        <v>50.26548245743669</v>
      </c>
      <c r="F84" t="s">
        <v>34</v>
      </c>
      <c r="G84" s="11">
        <v>50</v>
      </c>
      <c r="H84" s="11">
        <v>0</v>
      </c>
      <c r="I84">
        <f t="shared" si="13"/>
        <v>0</v>
      </c>
      <c r="J84" s="34"/>
      <c r="K84" s="9">
        <f t="shared" si="12"/>
        <v>3.6834113656128658</v>
      </c>
      <c r="L84" t="s">
        <v>92</v>
      </c>
    </row>
    <row r="85" spans="4:12" x14ac:dyDescent="0.2">
      <c r="D85" s="21" t="s">
        <v>99</v>
      </c>
      <c r="E85" s="21">
        <f>E84/(1000)^2</f>
        <v>5.0265482457436693E-5</v>
      </c>
      <c r="F85" s="21" t="s">
        <v>40</v>
      </c>
    </row>
    <row r="87" spans="4:12" x14ac:dyDescent="0.2">
      <c r="D87" s="21" t="s">
        <v>100</v>
      </c>
      <c r="E87" s="21">
        <f>E$85*0.04*E$77</f>
        <v>8.8668311054918318E-4</v>
      </c>
    </row>
    <row r="88" spans="4:12" x14ac:dyDescent="0.2">
      <c r="D88" s="21" t="s">
        <v>101</v>
      </c>
      <c r="E88" s="21">
        <f>E$85*0.03*E$77</f>
        <v>6.6501233291188749E-4</v>
      </c>
    </row>
    <row r="89" spans="4:12" x14ac:dyDescent="0.2">
      <c r="D89" s="21" t="s">
        <v>102</v>
      </c>
      <c r="E89" s="21">
        <f>E$85*0.02*E$77</f>
        <v>4.4334155527459159E-4</v>
      </c>
    </row>
  </sheetData>
  <mergeCells count="7">
    <mergeCell ref="A71:B71"/>
    <mergeCell ref="A1:G1"/>
    <mergeCell ref="H1:K1"/>
    <mergeCell ref="L1:O1"/>
    <mergeCell ref="Y16:Z16"/>
    <mergeCell ref="Y18:Z18"/>
    <mergeCell ref="A69:B69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N1:O65"/>
  <sheetViews>
    <sheetView topLeftCell="A22" workbookViewId="0">
      <selection activeCell="O35" sqref="O35"/>
    </sheetView>
  </sheetViews>
  <sheetFormatPr baseColWidth="10" defaultRowHeight="15" x14ac:dyDescent="0.25"/>
  <cols>
    <col min="15" max="15" width="79.7109375" customWidth="1"/>
  </cols>
  <sheetData>
    <row r="1" spans="15:15" x14ac:dyDescent="0.25">
      <c r="O1" s="21" t="s">
        <v>107</v>
      </c>
    </row>
    <row r="9" spans="15:15" x14ac:dyDescent="0.25">
      <c r="O9" t="s">
        <v>108</v>
      </c>
    </row>
    <row r="11" spans="15:15" x14ac:dyDescent="0.25">
      <c r="O11" t="s">
        <v>109</v>
      </c>
    </row>
    <row r="13" spans="15:15" ht="74.25" customHeight="1" x14ac:dyDescent="0.25">
      <c r="O13" s="45" t="s">
        <v>110</v>
      </c>
    </row>
    <row r="14" spans="15:15" x14ac:dyDescent="0.25">
      <c r="O14" t="s">
        <v>121</v>
      </c>
    </row>
    <row r="63" spans="14:15" x14ac:dyDescent="0.25">
      <c r="N63" t="s">
        <v>105</v>
      </c>
      <c r="O63">
        <v>1E-3</v>
      </c>
    </row>
    <row r="65" spans="14:15" x14ac:dyDescent="0.25">
      <c r="N65" t="s">
        <v>122</v>
      </c>
      <c r="O65">
        <f>1/O63^0.5</f>
        <v>31.622776601683796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4</vt:i4>
      </vt:variant>
      <vt:variant>
        <vt:lpstr>Gráficos</vt:lpstr>
      </vt:variant>
      <vt:variant>
        <vt:i4>3</vt:i4>
      </vt:variant>
    </vt:vector>
  </HeadingPairs>
  <TitlesOfParts>
    <vt:vector size="7" baseType="lpstr">
      <vt:lpstr>DN250 PN10</vt:lpstr>
      <vt:lpstr>DN300 PN10</vt:lpstr>
      <vt:lpstr>DN200 PN16</vt:lpstr>
      <vt:lpstr>Teoría</vt:lpstr>
      <vt:lpstr>Velocidad-Rugosidad Abs DN250</vt:lpstr>
      <vt:lpstr>Velocidad-Rugosidad Abs DN300</vt:lpstr>
      <vt:lpstr>Velocidad-Rugosidad Abs DN200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</dc:creator>
  <cp:lastModifiedBy>unknown</cp:lastModifiedBy>
  <dcterms:created xsi:type="dcterms:W3CDTF">2023-04-25T08:58:26Z</dcterms:created>
  <dcterms:modified xsi:type="dcterms:W3CDTF">2023-04-27T10:57:51Z</dcterms:modified>
</cp:coreProperties>
</file>